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bookViews>
    <workbookView xWindow="-15" yWindow="-15" windowWidth="24000" windowHeight="9330"/>
  </bookViews>
  <sheets>
    <sheet name="FY 23 with notes (tax year 2022" sheetId="9" r:id="rId1"/>
  </sheets>
  <definedNames>
    <definedName name="_xlnm._FilterDatabase" localSheetId="0" hidden="1">'FY 23 with notes (tax year 2022'!$A$3:$AL$51</definedName>
    <definedName name="_xlnm.Print_Area" localSheetId="0">'FY 23 with notes (tax year 2022'!$A$1:$AL$67</definedName>
  </definedNames>
  <calcPr calcId="162913"/>
</workbook>
</file>

<file path=xl/calcChain.xml><?xml version="1.0" encoding="utf-8"?>
<calcChain xmlns="http://schemas.openxmlformats.org/spreadsheetml/2006/main">
  <c r="AC65" i="9" l="1"/>
  <c r="AB65" i="9"/>
  <c r="AC64" i="9"/>
  <c r="AB64" i="9"/>
  <c r="AC61" i="9" l="1"/>
  <c r="AC63" i="9" l="1"/>
  <c r="AC62" i="9"/>
  <c r="W65" i="9" l="1"/>
  <c r="Y65" i="9"/>
  <c r="W64" i="9"/>
  <c r="Y64" i="9"/>
  <c r="AB62" i="9"/>
  <c r="AD64" i="9"/>
  <c r="AD65" i="9"/>
  <c r="AJ65" i="9" l="1"/>
  <c r="AJ64" i="9"/>
  <c r="AH64" i="9"/>
  <c r="AH65" i="9"/>
  <c r="U13" i="9" l="1"/>
  <c r="W13" i="9" s="1"/>
  <c r="Y13" i="9" l="1"/>
  <c r="AD13" i="9"/>
  <c r="AJ13" i="9" s="1"/>
  <c r="AH13" i="9"/>
  <c r="U17" i="9"/>
  <c r="U30" i="9" l="1"/>
  <c r="U46" i="9"/>
  <c r="AC11" i="9" l="1"/>
  <c r="AB11" i="9"/>
  <c r="U11" i="9"/>
  <c r="S29" i="9" l="1"/>
  <c r="W29" i="9"/>
  <c r="AB29" i="9" s="1"/>
  <c r="Y29" i="9"/>
  <c r="AD29" i="9" s="1"/>
  <c r="AJ29" i="9" s="1"/>
  <c r="AK29" i="9"/>
  <c r="U47" i="9"/>
  <c r="U48" i="9"/>
  <c r="U45" i="9"/>
  <c r="AH29" i="9" l="1"/>
  <c r="U15" i="9"/>
  <c r="U43" i="9" l="1"/>
  <c r="U41" i="9" l="1"/>
  <c r="AK37" i="9"/>
  <c r="U37" i="9"/>
  <c r="Y37" i="9" s="1"/>
  <c r="AD37" i="9" l="1"/>
  <c r="AF37" i="9" s="1"/>
  <c r="AJ37" i="9"/>
  <c r="W37" i="9"/>
  <c r="U33" i="9"/>
  <c r="U32" i="9"/>
  <c r="AH37" i="9" l="1"/>
  <c r="U26" i="9"/>
  <c r="U10" i="9" l="1"/>
  <c r="U40" i="9" l="1"/>
  <c r="U9" i="9"/>
  <c r="U23" i="9"/>
  <c r="AC21" i="9" l="1"/>
  <c r="AB21" i="9"/>
  <c r="U21" i="9"/>
  <c r="U39" i="9" l="1"/>
  <c r="U8" i="9"/>
  <c r="U7" i="9" l="1"/>
  <c r="U36" i="9"/>
  <c r="U35" i="9"/>
  <c r="AB63" i="9" l="1"/>
  <c r="AB61" i="9"/>
  <c r="AK33" i="9" l="1"/>
  <c r="AH16" i="9"/>
  <c r="AI16" i="9"/>
  <c r="AK16" i="9"/>
  <c r="AD16" i="9"/>
  <c r="AJ16" i="9" s="1"/>
  <c r="U51" i="9"/>
  <c r="Y33" i="9"/>
  <c r="AD33" i="9" s="1"/>
  <c r="AF33" i="9" s="1"/>
  <c r="W32" i="9"/>
  <c r="AB32" i="9" s="1"/>
  <c r="X1" i="9"/>
  <c r="X29" i="9" l="1"/>
  <c r="X64" i="9"/>
  <c r="X65" i="9"/>
  <c r="X13" i="9"/>
  <c r="AC29" i="9"/>
  <c r="AF29" i="9" s="1"/>
  <c r="Z29" i="9"/>
  <c r="AL29" i="9" s="1"/>
  <c r="AD47" i="9"/>
  <c r="AC47" i="9"/>
  <c r="AD48" i="9"/>
  <c r="X37" i="9"/>
  <c r="AF16" i="9"/>
  <c r="AL16" i="9" s="1"/>
  <c r="AJ33" i="9"/>
  <c r="W33" i="9"/>
  <c r="AH33" i="9" s="1"/>
  <c r="X33" i="9"/>
  <c r="AI33" i="9" s="1"/>
  <c r="AC48" i="9"/>
  <c r="W36" i="9"/>
  <c r="AI29" i="9" l="1"/>
  <c r="AI65" i="9"/>
  <c r="AE65" i="9" s="1"/>
  <c r="Z65" i="9"/>
  <c r="AE13" i="9"/>
  <c r="AI13" i="9"/>
  <c r="Z13" i="9"/>
  <c r="Z64" i="9"/>
  <c r="AI64" i="9"/>
  <c r="AE64" i="9" s="1"/>
  <c r="AI37" i="9"/>
  <c r="Z37" i="9"/>
  <c r="AL37" i="9" s="1"/>
  <c r="Z33" i="9"/>
  <c r="AL33" i="9" s="1"/>
  <c r="AK65" i="9" l="1"/>
  <c r="AF65" i="9"/>
  <c r="AL65" i="9" s="1"/>
  <c r="AK64" i="9"/>
  <c r="AF64" i="9"/>
  <c r="AL64" i="9" s="1"/>
  <c r="AF13" i="9"/>
  <c r="AL13" i="9" s="1"/>
  <c r="AK13" i="9"/>
  <c r="W17" i="9"/>
  <c r="AE27" i="9"/>
  <c r="AK39" i="9"/>
  <c r="W61" i="9" l="1"/>
  <c r="AD63" i="9" l="1"/>
  <c r="Y63" i="9"/>
  <c r="W63" i="9"/>
  <c r="AK41" i="9"/>
  <c r="Y41" i="9"/>
  <c r="AD41" i="9" s="1"/>
  <c r="AF41" i="9" s="1"/>
  <c r="W41" i="9"/>
  <c r="AJ63" i="9" l="1"/>
  <c r="AH63" i="9"/>
  <c r="AJ41" i="9"/>
  <c r="AH41" i="9"/>
  <c r="AK43" i="9" l="1"/>
  <c r="W43" i="9"/>
  <c r="W10" i="9"/>
  <c r="AB10" i="9" l="1"/>
  <c r="Y43" i="9"/>
  <c r="AH43" i="9"/>
  <c r="Y10" i="9"/>
  <c r="AD10" i="9" s="1"/>
  <c r="P23" i="9"/>
  <c r="S23" i="9"/>
  <c r="AD43" i="9" l="1"/>
  <c r="AF43" i="9" s="1"/>
  <c r="AC67" i="9"/>
  <c r="AJ43" i="9" l="1"/>
  <c r="AB67" i="9"/>
  <c r="AD62" i="9"/>
  <c r="AD61" i="9"/>
  <c r="AD67" i="9" l="1"/>
  <c r="Y62" i="9"/>
  <c r="AJ62" i="9" s="1"/>
  <c r="W62" i="9"/>
  <c r="AH62" i="9" l="1"/>
  <c r="AJ10" i="9"/>
  <c r="AH10" i="9"/>
  <c r="AF51" i="9" l="1"/>
  <c r="AK51" i="9"/>
  <c r="W9" i="9" l="1"/>
  <c r="Y9" i="9"/>
  <c r="AB9" i="9" l="1"/>
  <c r="AD9" i="9"/>
  <c r="AJ9" i="9" s="1"/>
  <c r="AH9" i="9"/>
  <c r="Y51" i="9"/>
  <c r="AJ51" i="9" s="1"/>
  <c r="W51" i="9"/>
  <c r="AH51" i="9" l="1"/>
  <c r="AB36" i="9" l="1"/>
  <c r="AH36" i="9" s="1"/>
  <c r="AK36" i="9"/>
  <c r="Y36" i="9"/>
  <c r="AD36" i="9" l="1"/>
  <c r="AJ36" i="9" s="1"/>
  <c r="W26" i="9" l="1"/>
  <c r="AB26" i="9" l="1"/>
  <c r="AH26" i="9"/>
  <c r="Y26" i="9"/>
  <c r="AD26" i="9" l="1"/>
  <c r="AJ26" i="9" s="1"/>
  <c r="AH32" i="9"/>
  <c r="Y32" i="9"/>
  <c r="W8" i="9"/>
  <c r="AB8" i="9" l="1"/>
  <c r="Y8" i="9"/>
  <c r="AD32" i="9"/>
  <c r="Y61" i="9"/>
  <c r="W67" i="9" l="1"/>
  <c r="AH61" i="9"/>
  <c r="Y67" i="9"/>
  <c r="AJ61" i="9"/>
  <c r="AJ32" i="9"/>
  <c r="Y19" i="9"/>
  <c r="W19" i="9"/>
  <c r="AB19" i="9" s="1"/>
  <c r="AJ67" i="9" l="1"/>
  <c r="AE19" i="9"/>
  <c r="AK19" i="9" s="1"/>
  <c r="AH19" i="9"/>
  <c r="AH67" i="9"/>
  <c r="AD19" i="9"/>
  <c r="AJ19" i="9" s="1"/>
  <c r="AK45" i="9"/>
  <c r="Y45" i="9"/>
  <c r="AD45" i="9" s="1"/>
  <c r="AF45" i="9" s="1"/>
  <c r="W45" i="9"/>
  <c r="AH45" i="9" s="1"/>
  <c r="AJ45" i="9" l="1"/>
  <c r="Y23" i="9"/>
  <c r="W23" i="9"/>
  <c r="AB23" i="9" l="1"/>
  <c r="AH23" i="9" s="1"/>
  <c r="AD23" i="9"/>
  <c r="AK35" i="9"/>
  <c r="W35" i="9"/>
  <c r="AH35" i="9" s="1"/>
  <c r="Y35" i="9"/>
  <c r="X63" i="9" l="1"/>
  <c r="X41" i="9"/>
  <c r="X43" i="9"/>
  <c r="X10" i="9"/>
  <c r="AC10" i="9" s="1"/>
  <c r="X62" i="9"/>
  <c r="X9" i="9"/>
  <c r="AE9" i="9" s="1"/>
  <c r="X51" i="9"/>
  <c r="X36" i="9"/>
  <c r="X26" i="9"/>
  <c r="AD35" i="9"/>
  <c r="AF35" i="9" s="1"/>
  <c r="X32" i="9"/>
  <c r="AC32" i="9" s="1"/>
  <c r="X61" i="9"/>
  <c r="X19" i="9"/>
  <c r="AC19" i="9" s="1"/>
  <c r="X35" i="9"/>
  <c r="AI35" i="9" s="1"/>
  <c r="X45" i="9"/>
  <c r="X23" i="9"/>
  <c r="AE23" i="9" s="1"/>
  <c r="AJ23" i="9"/>
  <c r="AE10" i="9" l="1"/>
  <c r="AC26" i="9"/>
  <c r="AE26" i="9"/>
  <c r="AI10" i="9"/>
  <c r="AK26" i="9"/>
  <c r="AC9" i="9"/>
  <c r="AK9" i="9"/>
  <c r="AI63" i="9"/>
  <c r="AE63" i="9" s="1"/>
  <c r="Z63" i="9"/>
  <c r="AI41" i="9"/>
  <c r="Z41" i="9"/>
  <c r="AL41" i="9" s="1"/>
  <c r="AI32" i="9"/>
  <c r="AE32" i="9"/>
  <c r="AK32" i="9" s="1"/>
  <c r="AC23" i="9"/>
  <c r="AI23" i="9" s="1"/>
  <c r="AI43" i="9"/>
  <c r="Z43" i="9"/>
  <c r="AL43" i="9" s="1"/>
  <c r="AK23" i="9"/>
  <c r="Z10" i="9"/>
  <c r="Z26" i="9"/>
  <c r="Z36" i="9"/>
  <c r="AC36" i="9"/>
  <c r="AF36" i="9" s="1"/>
  <c r="Z9" i="9"/>
  <c r="AI51" i="9"/>
  <c r="Z51" i="9"/>
  <c r="AL51" i="9" s="1"/>
  <c r="AI62" i="9"/>
  <c r="AE62" i="9" s="1"/>
  <c r="Z62" i="9"/>
  <c r="Z61" i="9"/>
  <c r="AI61" i="9"/>
  <c r="AE61" i="9" s="1"/>
  <c r="X67" i="9"/>
  <c r="AF19" i="9"/>
  <c r="Z19" i="9"/>
  <c r="Z35" i="9"/>
  <c r="AL35" i="9" s="1"/>
  <c r="Z32" i="9"/>
  <c r="AJ35" i="9"/>
  <c r="Z23" i="9"/>
  <c r="AI45" i="9"/>
  <c r="Z45" i="9"/>
  <c r="AL45" i="9" s="1"/>
  <c r="W46" i="9"/>
  <c r="AK46" i="9"/>
  <c r="AF63" i="9" l="1"/>
  <c r="AL63" i="9" s="1"/>
  <c r="AF9" i="9"/>
  <c r="AL9" i="9" s="1"/>
  <c r="AF32" i="9"/>
  <c r="AL32" i="9" s="1"/>
  <c r="AF10" i="9"/>
  <c r="AL10" i="9" s="1"/>
  <c r="AK10" i="9"/>
  <c r="AL36" i="9"/>
  <c r="AI9" i="9"/>
  <c r="Z67" i="9"/>
  <c r="AI36" i="9"/>
  <c r="AF23" i="9"/>
  <c r="AL23" i="9" s="1"/>
  <c r="AI26" i="9"/>
  <c r="AF26" i="9"/>
  <c r="AL26" i="9" s="1"/>
  <c r="AI67" i="9"/>
  <c r="AL19" i="9"/>
  <c r="AI19" i="9"/>
  <c r="AH46" i="9"/>
  <c r="Y46" i="9"/>
  <c r="AD46" i="9" s="1"/>
  <c r="AF46" i="9" s="1"/>
  <c r="AK7" i="9"/>
  <c r="Y7" i="9"/>
  <c r="AE67" i="9" l="1"/>
  <c r="AK63" i="9"/>
  <c r="AK62" i="9"/>
  <c r="AF62" i="9"/>
  <c r="AL62" i="9" s="1"/>
  <c r="AF61" i="9"/>
  <c r="AK61" i="9"/>
  <c r="AJ46" i="9"/>
  <c r="AD7" i="9"/>
  <c r="AJ7" i="9" s="1"/>
  <c r="W7" i="9"/>
  <c r="AF67" i="9" l="1"/>
  <c r="AK67" i="9"/>
  <c r="AL61" i="9"/>
  <c r="AL67" i="9" s="1"/>
  <c r="AB7" i="9"/>
  <c r="AH7" i="9" l="1"/>
  <c r="Y5" i="9" l="1"/>
  <c r="AD5" i="9" s="1"/>
  <c r="Y39" i="9" l="1"/>
  <c r="W39" i="9"/>
  <c r="AH39" i="9" s="1"/>
  <c r="AD39" i="9" l="1"/>
  <c r="AF39" i="9" s="1"/>
  <c r="AK49" i="9"/>
  <c r="AK48" i="9"/>
  <c r="AB48" i="9"/>
  <c r="Y48" i="9"/>
  <c r="AJ48" i="9" s="1"/>
  <c r="AK47" i="9"/>
  <c r="AK40" i="9"/>
  <c r="Y40" i="9"/>
  <c r="AD40" i="9" s="1"/>
  <c r="W40" i="9"/>
  <c r="AH40" i="9" s="1"/>
  <c r="AK30" i="9"/>
  <c r="Y30" i="9"/>
  <c r="AD30" i="9" s="1"/>
  <c r="AF30" i="9" s="1"/>
  <c r="S30" i="9"/>
  <c r="AK21" i="9"/>
  <c r="W21" i="9"/>
  <c r="AK18" i="9"/>
  <c r="AJ18" i="9"/>
  <c r="AI18" i="9"/>
  <c r="AH18" i="9"/>
  <c r="AF18" i="9"/>
  <c r="Z18" i="9"/>
  <c r="AK17" i="9"/>
  <c r="AK14" i="9"/>
  <c r="Y14" i="9"/>
  <c r="AD14" i="9" s="1"/>
  <c r="AF14" i="9" s="1"/>
  <c r="W14" i="9"/>
  <c r="AH14" i="9" s="1"/>
  <c r="AK12" i="9"/>
  <c r="Y12" i="9"/>
  <c r="AD12" i="9" s="1"/>
  <c r="W12" i="9"/>
  <c r="Y11" i="9"/>
  <c r="AD11" i="9" s="1"/>
  <c r="AK6" i="9"/>
  <c r="Y6" i="9"/>
  <c r="AD6" i="9" s="1"/>
  <c r="W6" i="9"/>
  <c r="AH6" i="9" s="1"/>
  <c r="S6" i="9"/>
  <c r="P8" i="9"/>
  <c r="AK5" i="9"/>
  <c r="AJ5" i="9"/>
  <c r="AF5" i="9"/>
  <c r="W5" i="9"/>
  <c r="X46" i="9"/>
  <c r="AJ39" i="9" l="1"/>
  <c r="AI46" i="9"/>
  <c r="Z46" i="9"/>
  <c r="AL46" i="9" s="1"/>
  <c r="X8" i="9"/>
  <c r="X40" i="9"/>
  <c r="Z40" i="9" s="1"/>
  <c r="X7" i="9"/>
  <c r="AL18" i="9"/>
  <c r="AJ40" i="9"/>
  <c r="AF47" i="9"/>
  <c r="X47" i="9"/>
  <c r="AI47" i="9" s="1"/>
  <c r="X21" i="9"/>
  <c r="AI21" i="9" s="1"/>
  <c r="AF40" i="9"/>
  <c r="Y21" i="9"/>
  <c r="AD21" i="9" s="1"/>
  <c r="AF21" i="9" s="1"/>
  <c r="X12" i="9"/>
  <c r="Z12" i="9" s="1"/>
  <c r="X15" i="9"/>
  <c r="Y15" i="9"/>
  <c r="AF48" i="9"/>
  <c r="W11" i="9"/>
  <c r="X14" i="9"/>
  <c r="AI14" i="9" s="1"/>
  <c r="AD8" i="9"/>
  <c r="Y47" i="9"/>
  <c r="AJ47" i="9" s="1"/>
  <c r="X39" i="9"/>
  <c r="X5" i="9"/>
  <c r="AI5" i="9" s="1"/>
  <c r="AJ14" i="9"/>
  <c r="AH21" i="9"/>
  <c r="AF6" i="9"/>
  <c r="AJ6" i="9"/>
  <c r="Y17" i="9"/>
  <c r="X17" i="9"/>
  <c r="AI17" i="9" s="1"/>
  <c r="W49" i="9"/>
  <c r="AB49" i="9" s="1"/>
  <c r="Y49" i="9"/>
  <c r="X49" i="9"/>
  <c r="AH17" i="9"/>
  <c r="AJ12" i="9"/>
  <c r="W30" i="9"/>
  <c r="AJ30" i="9"/>
  <c r="X30" i="9"/>
  <c r="AI30" i="9" s="1"/>
  <c r="AH5" i="9"/>
  <c r="AJ11" i="9"/>
  <c r="X6" i="9"/>
  <c r="AI6" i="9" s="1"/>
  <c r="AB12" i="9"/>
  <c r="W48" i="9"/>
  <c r="X48" i="9"/>
  <c r="AI48" i="9" s="1"/>
  <c r="X11" i="9"/>
  <c r="W15" i="9"/>
  <c r="W47" i="9"/>
  <c r="AE15" i="9" l="1"/>
  <c r="AC49" i="9"/>
  <c r="AI49" i="9" s="1"/>
  <c r="AD49" i="9"/>
  <c r="AF49" i="9" s="1"/>
  <c r="AC8" i="9"/>
  <c r="AE8" i="9"/>
  <c r="AK8" i="9" s="1"/>
  <c r="AK15" i="9"/>
  <c r="Z39" i="9"/>
  <c r="AL39" i="9" s="1"/>
  <c r="AI39" i="9"/>
  <c r="AD15" i="9"/>
  <c r="AJ15" i="9" s="1"/>
  <c r="AC15" i="9"/>
  <c r="AI15" i="9" s="1"/>
  <c r="AH11" i="9"/>
  <c r="AE11" i="9"/>
  <c r="AB15" i="9"/>
  <c r="AC12" i="9"/>
  <c r="AI12" i="9" s="1"/>
  <c r="AC7" i="9"/>
  <c r="Z7" i="9"/>
  <c r="AL40" i="9"/>
  <c r="AJ21" i="9"/>
  <c r="Z5" i="9"/>
  <c r="AL5" i="9" s="1"/>
  <c r="Z21" i="9"/>
  <c r="AL21" i="9" s="1"/>
  <c r="AI40" i="9"/>
  <c r="Z14" i="9"/>
  <c r="AL14" i="9" s="1"/>
  <c r="W53" i="9"/>
  <c r="Z17" i="9"/>
  <c r="Y53" i="9"/>
  <c r="X53" i="9"/>
  <c r="Z15" i="9"/>
  <c r="Z6" i="9"/>
  <c r="AL6" i="9" s="1"/>
  <c r="AI11" i="9"/>
  <c r="Z11" i="9"/>
  <c r="Z48" i="9"/>
  <c r="AL48" i="9" s="1"/>
  <c r="AH48" i="9"/>
  <c r="AJ8" i="9"/>
  <c r="AH47" i="9"/>
  <c r="Z47" i="9"/>
  <c r="AL47" i="9" s="1"/>
  <c r="AF17" i="9"/>
  <c r="AH12" i="9"/>
  <c r="AH8" i="9"/>
  <c r="Z8" i="9"/>
  <c r="AH30" i="9"/>
  <c r="Z30" i="9"/>
  <c r="AL30" i="9" s="1"/>
  <c r="AH49" i="9"/>
  <c r="Z49" i="9"/>
  <c r="AL49" i="9" l="1"/>
  <c r="AJ49" i="9"/>
  <c r="AF8" i="9"/>
  <c r="AL8" i="9" s="1"/>
  <c r="AF11" i="9"/>
  <c r="AL11" i="9" s="1"/>
  <c r="AK11" i="9"/>
  <c r="AE53" i="9"/>
  <c r="AI8" i="9"/>
  <c r="AF12" i="9"/>
  <c r="AL12" i="9" s="1"/>
  <c r="AF15" i="9"/>
  <c r="AL15" i="9" s="1"/>
  <c r="AC53" i="9"/>
  <c r="AI7" i="9"/>
  <c r="AF7" i="9"/>
  <c r="AL7" i="9" s="1"/>
  <c r="AL17" i="9"/>
  <c r="Z53" i="9"/>
  <c r="AB53" i="9"/>
  <c r="AD53" i="9"/>
  <c r="AJ17" i="9"/>
  <c r="AJ53" i="9" s="1"/>
  <c r="AH15" i="9"/>
  <c r="AK53" i="9" l="1"/>
  <c r="AI53" i="9"/>
  <c r="AH53" i="9"/>
  <c r="AF53" i="9"/>
  <c r="AL53" i="9"/>
</calcChain>
</file>

<file path=xl/sharedStrings.xml><?xml version="1.0" encoding="utf-8"?>
<sst xmlns="http://schemas.openxmlformats.org/spreadsheetml/2006/main" count="364" uniqueCount="231">
  <si>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</si>
  <si>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</si>
  <si>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</si>
  <si>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</si>
  <si>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</si>
  <si>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</si>
  <si>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</si>
  <si>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</si>
  <si>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</si>
  <si>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</si>
  <si>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</si>
  <si>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</si>
  <si>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</si>
  <si>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PLASTIC OMNIUM AUTO EXTERIORS, LLC</t>
  </si>
  <si>
    <t>3241 Hickory Valley Rd</t>
  </si>
  <si>
    <t>PROVIDENT/UNUM PROVIDENT CORP.</t>
  </si>
  <si>
    <t>473 Walnut St</t>
  </si>
  <si>
    <t>Compress St, 3480 Amnicola, 625 Hulsey</t>
  </si>
  <si>
    <t>WM WRIGLEY JR CO</t>
  </si>
  <si>
    <t>3002 Jersey Pike</t>
  </si>
  <si>
    <t>AMAZON.COM DEDC LLC PROJECT</t>
  </si>
  <si>
    <t>7200 Volkswagen Dr</t>
  </si>
  <si>
    <t>7380 Volkswagen Dr</t>
  </si>
  <si>
    <t>RIVERCITY CO - MAJESTIC 12 THEATER</t>
  </si>
  <si>
    <t>311 Broad St</t>
  </si>
  <si>
    <t>VOLKSWAGEN GROUP OF AMERICA INC</t>
  </si>
  <si>
    <t>8001 Volkswagen Dr &amp; Discovery Dr</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</si>
  <si>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</si>
  <si>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</si>
  <si>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</si>
  <si>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</si>
  <si>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</si>
  <si>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</si>
  <si>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</si>
  <si>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</si>
  <si>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</si>
  <si>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</si>
  <si>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</si>
  <si>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</si>
  <si>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</si>
  <si>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</si>
  <si>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</si>
  <si>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</si>
  <si>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</si>
  <si>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</si>
  <si>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</si>
  <si>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</si>
  <si>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</si>
  <si>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</si>
  <si>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</si>
  <si>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1210-12</t>
  </si>
  <si>
    <t>302-41A</t>
  </si>
  <si>
    <t>614-19</t>
  </si>
  <si>
    <t>309-37</t>
  </si>
  <si>
    <t>1008-27</t>
  </si>
  <si>
    <t>1214-8</t>
  </si>
  <si>
    <t>SOUTHERN CHAMPION TRAY 2014</t>
  </si>
  <si>
    <t>Resolution</t>
  </si>
  <si>
    <t>1212-20</t>
  </si>
  <si>
    <t>1212-21</t>
  </si>
  <si>
    <t>1108-43</t>
  </si>
  <si>
    <t>1010-8</t>
  </si>
  <si>
    <t>1006-36</t>
  </si>
  <si>
    <t>714-31</t>
  </si>
  <si>
    <t>State Map No.</t>
  </si>
  <si>
    <t>Per 040158</t>
  </si>
  <si>
    <t>139-074</t>
  </si>
  <si>
    <t>135M-E-001</t>
  </si>
  <si>
    <t>135NB-A-003</t>
  </si>
  <si>
    <t>130-008.18, 24; Per 036767, Per 042026</t>
  </si>
  <si>
    <t>138I-A-002.01; Per 404153</t>
  </si>
  <si>
    <t>314-25</t>
  </si>
  <si>
    <t>Bill for Payments in Lieu of Taxes</t>
  </si>
  <si>
    <t>Total In Lieu of Taxes</t>
  </si>
  <si>
    <t>8002 Volkswagen Dr &amp; Discovery Dr</t>
  </si>
  <si>
    <t>Economic Dev. Fee</t>
  </si>
  <si>
    <t>Link to Resolution</t>
  </si>
  <si>
    <t>View</t>
  </si>
  <si>
    <t>COCA-COLA BOTTLING COMPANY UNITED</t>
  </si>
  <si>
    <t>McKEE FOODS (City of Collegedale)</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</si>
  <si>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</si>
  <si>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</si>
  <si>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</si>
  <si>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</si>
  <si>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</si>
  <si>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</si>
  <si>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</si>
  <si>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</si>
  <si>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</si>
  <si>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</si>
  <si>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</si>
  <si>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</si>
  <si>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</si>
  <si>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</si>
  <si>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710-4</t>
  </si>
  <si>
    <t>1109-52</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</si>
  <si>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</si>
  <si>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</si>
  <si>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</si>
  <si>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</si>
  <si>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</si>
  <si>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</si>
  <si>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</si>
  <si>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</si>
  <si>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</si>
  <si>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</si>
  <si>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</si>
  <si>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</si>
  <si>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</si>
  <si>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</si>
  <si>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</si>
  <si>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</si>
  <si>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</si>
  <si>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</si>
  <si>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</si>
  <si>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</si>
  <si>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</si>
  <si>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</si>
  <si>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</si>
  <si>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</si>
  <si>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</si>
  <si>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</si>
  <si>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AMAZON.COM - COLE ID CHATT US REAL ESTATE</t>
  </si>
  <si>
    <t>BLUE CROSS BLUE SHIELD OF TN INC</t>
  </si>
  <si>
    <t>1 &amp; 23 Cameron Hill Cir &amp; 505 E MLK Blvd</t>
  </si>
  <si>
    <t>135N-B-005, 005.01, 005.02; Per 031074</t>
  </si>
  <si>
    <t>305-34</t>
  </si>
  <si>
    <t>HOMESERVE USA CORP</t>
  </si>
  <si>
    <t>517-30</t>
  </si>
  <si>
    <t>TSO CHATTANOOGA DEVELOPMENT, LP</t>
  </si>
  <si>
    <t>700 Market Street</t>
  </si>
  <si>
    <t>815-19</t>
  </si>
  <si>
    <t>Combined commitments for this project and Map 139-074</t>
  </si>
  <si>
    <t>Combined commitments for this project and Per 040158</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</si>
  <si>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</si>
  <si>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</si>
  <si>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</si>
  <si>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</si>
  <si>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</si>
  <si>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</si>
  <si>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</si>
  <si>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</si>
  <si>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</si>
  <si>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</si>
  <si>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</si>
  <si>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</si>
  <si>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</si>
  <si>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</si>
  <si>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</si>
  <si>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</si>
  <si>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</si>
  <si>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</si>
  <si>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</si>
  <si>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</si>
  <si>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</si>
  <si>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</si>
  <si>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</si>
  <si>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</si>
  <si>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</si>
  <si>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</si>
  <si>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</si>
  <si>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</si>
  <si>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</si>
  <si>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</si>
  <si>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</si>
  <si>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</si>
  <si>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</si>
  <si>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</si>
  <si>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</si>
  <si>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</si>
  <si>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</si>
  <si>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</si>
  <si>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</si>
  <si>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</si>
  <si>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</si>
  <si>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</si>
  <si>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</si>
  <si>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</si>
  <si>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</si>
  <si>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139P-C-007; Per 10054783</t>
  </si>
  <si>
    <t>145F-A-005; Per 10054385</t>
  </si>
  <si>
    <t>138I-A-002.01</t>
  </si>
  <si>
    <t>MA 1400 CHESTNUT LLC</t>
  </si>
  <si>
    <t>East Chattanooga Rising (Tubman)</t>
  </si>
  <si>
    <t>1219-27</t>
  </si>
  <si>
    <t>Proceeds from TIF toward infrastructure and road impr. - approx. $4 million plus interest</t>
  </si>
  <si>
    <t>320-25</t>
  </si>
  <si>
    <t>10261 McKee Drive and 10638 Apison Pike</t>
  </si>
  <si>
    <t>Expansion of facilities</t>
  </si>
  <si>
    <t>146O-C-001 L000;                154-009.09L000;                  Per 10053579; Per 10053580</t>
  </si>
  <si>
    <t>SOUTHERN CHAMPION TRAY 2020</t>
  </si>
  <si>
    <t>820-26</t>
  </si>
  <si>
    <t>CHATTANOOGA NEIGHBORHOOD ENTERPRISE, INC  MAI BELL 2 RESIDENTIAL PROJECT</t>
  </si>
  <si>
    <t>1715 Union Avenue</t>
  </si>
  <si>
    <t>321-14</t>
  </si>
  <si>
    <t>146D-A-001; 146D-A-009;  146D-D-003; Per 10051748</t>
  </si>
  <si>
    <t>140-172 L000; Per 10058089</t>
  </si>
  <si>
    <t>1121-33</t>
  </si>
  <si>
    <t>STEAM LOGISTICS</t>
  </si>
  <si>
    <t>721-6</t>
  </si>
  <si>
    <t>PUREGRAPHITE LLC / NOVONIX LLC</t>
  </si>
  <si>
    <t>RESERVE AT MOUNTAIN PASS</t>
  </si>
  <si>
    <t>421-30</t>
  </si>
  <si>
    <t>4905 Central Avenue</t>
  </si>
  <si>
    <t>240 units</t>
  </si>
  <si>
    <t>47 units</t>
  </si>
  <si>
    <t>APP BATTERY PARTNERS, LLLP</t>
  </si>
  <si>
    <t>3401 Campbell Street</t>
  </si>
  <si>
    <t>1220-33</t>
  </si>
  <si>
    <t>142 one, two &amp; three bedroom units</t>
  </si>
  <si>
    <t>2022 City taxes billed</t>
  </si>
  <si>
    <t>2022 County taxes billed</t>
  </si>
  <si>
    <t>2022 School taxes billed</t>
  </si>
  <si>
    <t>South Broad District</t>
  </si>
  <si>
    <t>North River Commerce Center</t>
  </si>
  <si>
    <t>822-24</t>
  </si>
  <si>
    <t>722-34</t>
  </si>
  <si>
    <t>128P-N-003; Per 10060864</t>
  </si>
  <si>
    <t>145D-X-007; Per 10055812</t>
  </si>
  <si>
    <t xml:space="preserve">2022 City </t>
  </si>
  <si>
    <t>2022 County</t>
  </si>
  <si>
    <t>2022 School</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</si>
  <si>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2022</t>
    </r>
  </si>
  <si>
    <t>Capped at $3.5 million for MLK extension plus $1.7 million for carried interest, fees, etc.</t>
  </si>
  <si>
    <t xml:space="preserve">Primarily to pay debt service associated with Sports Authority debt to be incurred for construction of Lookouts baseball stadium </t>
  </si>
  <si>
    <t>Infrastructure improvements up to $23.5 million for development of new industrial park</t>
  </si>
  <si>
    <t>20 year time period beginning upon completion of capital improvements on each respective parcel(s)</t>
  </si>
  <si>
    <t>30 year time period beginning upon completion of capital improvements on each respective parcel(s)</t>
  </si>
  <si>
    <t>Projected investment of at least $350,000,000</t>
  </si>
  <si>
    <t>Projected investment of $106,000,000</t>
  </si>
  <si>
    <t>125 residential rental units plus retail and office space and parking structure, must reserve at least 20% of available units for lower income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</si>
</sst>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1" formatCode="_(* #,##0_);_(* \(#,##0\);_(* &quot;-&quot;_);_(@_)"/>
    <numFmt numFmtId="43" formatCode="_(* #,##0.00_);_(* \(#,##0.00\);_(* &quot;-&quot;??_);_(@_)"/>
    <numFmt numFmtId="164" formatCode="&quot;$&quot;#,##0.00"/>
    <numFmt numFmtId="165" formatCode="_(* #,##0.0000_);_(* \(#,##0.0000\);_(* &quot;-&quot;_);_(@_)"/>
    <numFmt numFmtId="166" formatCode="_(* #,##0.0000_);_(* \(#,##0.0000\);_(* &quot;-&quot;??_);_(@_)"/>
    <numFmt numFmtId="167" formatCode="_(* #,##0_);_(* \(#,##0\);_(* &quot;-&quot;??_);_(@_)"/>
    <numFmt numFmtId="168" formatCode="0.00000%"/>
  </numFmts>
  <fonts count="21"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10"/>
      <name val="Arial"/>
      <family val="2"/>
    </font>
    <font>
      <u/>
      <sz val="10"/>
      <color rgb="FFFF0000"/>
      <name val="Arial"/>
      <family val="2"/>
    </font>
    <font>
      <u/>
      <sz val="10"/>
      <name val="Arial"/>
      <family val="2"/>
    </font>
    <font>
      <sz val="10"/>
      <name val="Arial"/>
      <family val="2"/>
    </font>
    <font>
      <i/>
      <sz val="10"/>
      <color theme="0"/>
      <name val="Arial"/>
      <family val="2"/>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5" fillId="0" borderId="0" applyFont="0" applyFill="0" applyBorder="0" applyAlignment="0" applyProtection="0"/>
    <xf numFmtId="0" fontId="16" fillId="0" borderId="1"/>
    <xf numFmtId="0" fontId="16" fillId="0" borderId="1"/>
    <xf numFmtId="9" fontId="19" fillId="0" borderId="0" applyFont="0" applyFill="0" applyBorder="0" applyAlignment="0" applyProtection="0"/>
  </cellStyleXfs>
  <cellXfs count="475">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7" applyFont="1" applyBorder="1" applyAlignment="1">
      <alignment horizontal="center" vertical="top"/>
    </xf>
    <xf numFmtId="0" fontId="5" fillId="0" borderId="1" xfId="7" applyFont="1" applyAlignment="1"/>
    <xf numFmtId="14" fontId="5" fillId="0" borderId="1" xfId="7" applyNumberFormat="1" applyFont="1" applyBorder="1" applyAlignment="1">
      <alignment horizontal="center" vertical="top"/>
    </xf>
    <xf numFmtId="41" fontId="5" fillId="0" borderId="1" xfId="7" applyNumberFormat="1" applyFont="1" applyFill="1" applyBorder="1" applyAlignment="1">
      <alignment horizontal="center" vertical="top"/>
    </xf>
    <xf numFmtId="0" fontId="5" fillId="0" borderId="1" xfId="7" applyFont="1" applyFill="1" applyBorder="1" applyAlignment="1">
      <alignment horizontal="center" vertical="top"/>
    </xf>
    <xf numFmtId="0" fontId="5" fillId="0" borderId="1" xfId="7" applyFont="1" applyFill="1" applyBorder="1" applyAlignment="1">
      <alignment horizontal="right" vertical="top" wrapText="1"/>
    </xf>
    <xf numFmtId="5" fontId="5" fillId="0" borderId="1" xfId="7" applyNumberFormat="1" applyFont="1" applyFill="1" applyBorder="1" applyAlignment="1">
      <alignment horizontal="center" vertical="top" wrapText="1"/>
    </xf>
    <xf numFmtId="164" fontId="13" fillId="0" borderId="1" xfId="7" applyNumberFormat="1" applyFont="1" applyFill="1" applyBorder="1" applyAlignment="1">
      <alignment horizontal="left" vertical="top" wrapText="1"/>
    </xf>
    <xf numFmtId="41" fontId="5" fillId="0" borderId="1" xfId="7" applyNumberFormat="1" applyFont="1" applyBorder="1" applyAlignment="1">
      <alignment horizontal="center" vertical="top"/>
    </xf>
    <xf numFmtId="41" fontId="5" fillId="7" borderId="1" xfId="7" applyNumberFormat="1" applyFont="1" applyFill="1" applyBorder="1" applyAlignment="1">
      <alignment horizontal="center" vertical="top"/>
    </xf>
    <xf numFmtId="41" fontId="4" fillId="9" borderId="1" xfId="7" applyNumberFormat="1" applyFont="1" applyFill="1" applyBorder="1" applyAlignment="1">
      <alignment horizontal="center" vertical="top"/>
    </xf>
    <xf numFmtId="41" fontId="5" fillId="9" borderId="1" xfId="7"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7" applyFont="1" applyFill="1" applyBorder="1" applyAlignment="1">
      <alignment vertical="top" wrapText="1"/>
    </xf>
    <xf numFmtId="0" fontId="5" fillId="0" borderId="1" xfId="7" applyFont="1" applyFill="1" applyBorder="1" applyAlignment="1">
      <alignment vertical="top"/>
    </xf>
    <xf numFmtId="0" fontId="5" fillId="0" borderId="1" xfId="7"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9"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3" fillId="0" borderId="1" xfId="0" applyNumberFormat="1" applyFont="1" applyFill="1" applyBorder="1" applyAlignment="1">
      <alignment horizontal="center" wrapText="1"/>
    </xf>
    <xf numFmtId="14" fontId="10" fillId="0" borderId="5" xfId="2" applyNumberFormat="1" applyFill="1" applyBorder="1" applyAlignment="1">
      <alignment horizontal="center" vertical="top"/>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5" xfId="0" applyNumberFormat="1" applyFont="1" applyFill="1" applyBorder="1" applyAlignment="1">
      <alignment horizontal="center" vertical="top"/>
    </xf>
    <xf numFmtId="14" fontId="12" fillId="0" borderId="1" xfId="4" applyNumberFormat="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vertical="top" wrapText="1"/>
    </xf>
    <xf numFmtId="41" fontId="5" fillId="0" borderId="1" xfId="0" applyNumberFormat="1"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Fill="1" applyBorder="1" applyAlignment="1">
      <alignment vertical="top" wrapText="1"/>
    </xf>
    <xf numFmtId="168" fontId="6" fillId="0" borderId="6" xfId="8" applyNumberFormat="1" applyFont="1" applyFill="1" applyBorder="1" applyAlignment="1">
      <alignment horizontal="center" vertical="top" wrapText="1"/>
    </xf>
    <xf numFmtId="41" fontId="5" fillId="12"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1" xfId="0" applyNumberFormat="1" applyFont="1" applyFill="1" applyBorder="1" applyAlignment="1">
      <alignment horizontal="center" vertical="top"/>
    </xf>
    <xf numFmtId="41" fontId="5" fillId="9" borderId="5" xfId="0" quotePrefix="1" applyNumberFormat="1" applyFont="1" applyFill="1" applyBorder="1" applyAlignment="1">
      <alignment vertical="top"/>
    </xf>
    <xf numFmtId="41" fontId="5" fillId="9" borderId="5" xfId="0" applyNumberFormat="1" applyFont="1" applyFill="1" applyBorder="1" applyAlignment="1">
      <alignment vertical="top"/>
    </xf>
    <xf numFmtId="0" fontId="5" fillId="0" borderId="5" xfId="0" applyFont="1" applyFill="1" applyBorder="1" applyAlignment="1">
      <alignment horizontal="center" vertical="top"/>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7" borderId="6" xfId="0" applyNumberFormat="1" applyFont="1" applyFill="1" applyBorder="1" applyAlignment="1">
      <alignment vertical="top"/>
    </xf>
    <xf numFmtId="0" fontId="5" fillId="0" borderId="5" xfId="0" applyFont="1" applyBorder="1" applyAlignment="1">
      <alignment vertical="top"/>
    </xf>
    <xf numFmtId="0" fontId="5" fillId="11" borderId="5" xfId="0" applyFont="1" applyFill="1" applyBorder="1" applyAlignment="1">
      <alignment horizontal="left" vertical="top" wrapText="1"/>
    </xf>
    <xf numFmtId="0" fontId="5" fillId="11" borderId="6" xfId="0" applyFont="1" applyFill="1" applyBorder="1" applyAlignment="1">
      <alignment horizontal="center" vertical="top"/>
    </xf>
    <xf numFmtId="0" fontId="5" fillId="11" borderId="5" xfId="0" applyFont="1" applyFill="1" applyBorder="1" applyAlignment="1">
      <alignment horizontal="center" vertical="top" wrapText="1"/>
    </xf>
    <xf numFmtId="14" fontId="12" fillId="0" borderId="6" xfId="4" applyNumberFormat="1" applyBorder="1" applyAlignment="1">
      <alignment horizontal="center" vertical="top"/>
    </xf>
    <xf numFmtId="41" fontId="5" fillId="9" borderId="6" xfId="0" applyNumberFormat="1" applyFont="1" applyFill="1" applyBorder="1" applyAlignment="1">
      <alignment horizontal="center" vertical="top"/>
    </xf>
    <xf numFmtId="165" fontId="0" fillId="0" borderId="0" xfId="0" applyNumberFormat="1" applyFill="1"/>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5" fontId="5" fillId="0" borderId="6" xfId="0" applyNumberFormat="1" applyFont="1" applyFill="1" applyBorder="1" applyAlignment="1">
      <alignment horizontal="center" vertical="top" wrapText="1"/>
    </xf>
    <xf numFmtId="14" fontId="12" fillId="0" borderId="6" xfId="4" applyNumberFormat="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14" fontId="12" fillId="0" borderId="6" xfId="4" applyNumberFormat="1" applyBorder="1" applyAlignment="1">
      <alignment horizontal="center" vertical="top"/>
    </xf>
    <xf numFmtId="0" fontId="5" fillId="11" borderId="6" xfId="0" applyFont="1" applyFill="1" applyBorder="1" applyAlignment="1">
      <alignment horizontal="left" vertical="center" wrapText="1"/>
    </xf>
    <xf numFmtId="0" fontId="5" fillId="11" borderId="6" xfId="0" applyFont="1" applyFill="1" applyBorder="1" applyAlignment="1">
      <alignment horizontal="left"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vertical="top" wrapText="1"/>
    </xf>
    <xf numFmtId="0" fontId="5" fillId="11" borderId="6" xfId="0" applyFont="1" applyFill="1" applyBorder="1" applyAlignment="1">
      <alignment vertical="top"/>
    </xf>
    <xf numFmtId="41" fontId="5" fillId="0" borderId="5"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left"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14" fontId="10" fillId="0" borderId="6" xfId="4" applyNumberFormat="1" applyFont="1" applyBorder="1" applyAlignment="1">
      <alignment horizontal="center" vertical="top"/>
    </xf>
    <xf numFmtId="41" fontId="5" fillId="9" borderId="6" xfId="0" applyNumberFormat="1" applyFont="1" applyFill="1" applyBorder="1" applyAlignment="1">
      <alignment horizontal="center" vertical="top"/>
    </xf>
    <xf numFmtId="165" fontId="20" fillId="0" borderId="0" xfId="0" applyNumberFormat="1" applyFont="1" applyFill="1"/>
    <xf numFmtId="41" fontId="4" fillId="6" borderId="1"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6" borderId="7" xfId="0" applyNumberFormat="1" applyFont="1" applyFill="1" applyBorder="1" applyAlignment="1">
      <alignment horizontal="center" vertical="top"/>
    </xf>
    <xf numFmtId="41" fontId="5" fillId="7" borderId="1" xfId="0" applyNumberFormat="1" applyFont="1" applyFill="1" applyBorder="1" applyAlignment="1">
      <alignment vertical="top"/>
    </xf>
    <xf numFmtId="41" fontId="5" fillId="7" borderId="5" xfId="0" applyNumberFormat="1" applyFont="1" applyFill="1" applyBorder="1" applyAlignment="1">
      <alignment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5"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6" xfId="0" applyNumberFormat="1" applyFont="1" applyFill="1" applyBorder="1" applyAlignment="1">
      <alignment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41" fontId="5" fillId="9"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41" fontId="5" fillId="3" borderId="5"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0" fontId="5" fillId="0" borderId="1" xfId="0" applyFont="1" applyBorder="1" applyAlignment="1">
      <alignment vertical="top"/>
    </xf>
    <xf numFmtId="0" fontId="5" fillId="0" borderId="5" xfId="0" applyFont="1" applyBorder="1" applyAlignment="1">
      <alignment vertical="top"/>
    </xf>
    <xf numFmtId="5" fontId="5" fillId="0" borderId="1"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6" xfId="0" applyFont="1" applyBorder="1" applyAlignment="1">
      <alignment horizontal="right" vertical="top"/>
    </xf>
    <xf numFmtId="0" fontId="5" fillId="0" borderId="7" xfId="0" applyFont="1" applyBorder="1" applyAlignment="1">
      <alignment horizontal="right" vertical="top"/>
    </xf>
    <xf numFmtId="5" fontId="5" fillId="0" borderId="6" xfId="0" applyNumberFormat="1" applyFont="1" applyFill="1" applyBorder="1" applyAlignment="1">
      <alignment horizontal="center" vertical="top" wrapText="1"/>
    </xf>
    <xf numFmtId="5" fontId="5" fillId="0" borderId="7"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7"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3" borderId="7"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0" fontId="5" fillId="0" borderId="7" xfId="0" applyFont="1" applyBorder="1" applyAlignment="1">
      <alignment horizontal="center" vertical="top"/>
    </xf>
    <xf numFmtId="14" fontId="5" fillId="0" borderId="6" xfId="0" applyNumberFormat="1" applyFont="1" applyBorder="1" applyAlignment="1">
      <alignment horizontal="center" vertical="top"/>
    </xf>
    <xf numFmtId="14" fontId="5" fillId="0" borderId="7" xfId="0" applyNumberFormat="1" applyFont="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41" fontId="0" fillId="0" borderId="0" xfId="0" applyNumberFormat="1" applyFill="1" applyAlignment="1">
      <alignment vertical="center" wrapText="1"/>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164" fontId="5" fillId="0" borderId="1" xfId="0" applyNumberFormat="1" applyFont="1" applyFill="1" applyBorder="1" applyAlignment="1">
      <alignment horizontal="left" vertical="top" wrapText="1"/>
    </xf>
    <xf numFmtId="164" fontId="5" fillId="0" borderId="5" xfId="0" applyNumberFormat="1" applyFont="1" applyFill="1" applyBorder="1" applyAlignment="1">
      <alignment horizontal="left" vertical="top" wrapText="1"/>
    </xf>
    <xf numFmtId="41" fontId="5" fillId="3" borderId="1" xfId="0" applyNumberFormat="1" applyFont="1" applyFill="1" applyBorder="1" applyAlignment="1">
      <alignment horizontal="center" vertical="top"/>
    </xf>
  </cellXfs>
  <cellStyles count="9">
    <cellStyle name="Comma" xfId="5" builtinId="3"/>
    <cellStyle name="Hyperlink" xfId="4" builtinId="8"/>
    <cellStyle name="Hyperlink 2" xfId="2"/>
    <cellStyle name="Hyperlink 3" xfId="1"/>
    <cellStyle name="Normal" xfId="0" builtinId="0"/>
    <cellStyle name="Normal 2" xfId="3"/>
    <cellStyle name="Normal 3" xfId="6"/>
    <cellStyle name="Normal 4" xfId="7"/>
    <cellStyle name="Percent" xfId="8"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ttanooga.gov/city-council-files/OrdinancesAndResolutions/Resolutions/Resolutions%202002/23253%20Downtown%20Housing%20Initiative%20.doc" TargetMode="External"/><Relationship Id="rId18" Type="http://schemas.openxmlformats.org/officeDocument/2006/relationships/hyperlink" Target="http://resolutions.hamiltontn.gov/resolutions/2009/309-37.pdf" TargetMode="External"/><Relationship Id="rId26" Type="http://schemas.openxmlformats.org/officeDocument/2006/relationships/hyperlink" Target="http://www.chattanooga.gov/city-council-files/OrdinancesAndResolutions/Resolutions/Resolutions%202015/28233%20PILOT%20Heritage-Maclellan.pdf" TargetMode="External"/><Relationship Id="rId39" Type="http://schemas.openxmlformats.org/officeDocument/2006/relationships/hyperlink" Target="http://www.chattanooga.gov/city-council-files/OrdinancesAndResolutions/Resolutions/Resolutions%202016/28501%20PILOT%20Yanfeng.pdf" TargetMode="External"/><Relationship Id="rId21" Type="http://schemas.openxmlformats.org/officeDocument/2006/relationships/hyperlink" Target="http://resolutions.hamiltontn.gov/resolutions/2008/1108-43.pdf" TargetMode="External"/><Relationship Id="rId34" Type="http://schemas.openxmlformats.org/officeDocument/2006/relationships/hyperlink" Target="http://resolutions.hamiltontn.gov/resolutions/2009/1109-52.pdf" TargetMode="External"/><Relationship Id="rId42" Type="http://schemas.openxmlformats.org/officeDocument/2006/relationships/hyperlink" Target="http://resolutions.hamiltontn.gov/resolutions/2016/1116-3.pdf" TargetMode="External"/><Relationship Id="rId47" Type="http://schemas.openxmlformats.org/officeDocument/2006/relationships/hyperlink" Target="http://www.chattanooga.gov/city-council-files/OrdinancesAndResolutions/Resolutions/Resolutions%202005/24361%20Authorize%20BlueCross%20BlueShield%20PILOT%20Agreement.pdf" TargetMode="External"/><Relationship Id="rId50" Type="http://schemas.openxmlformats.org/officeDocument/2006/relationships/hyperlink" Target="http://resolutions.hamiltontn.gov/resolutions/2017/517-30.pdf" TargetMode="External"/><Relationship Id="rId55" Type="http://schemas.openxmlformats.org/officeDocument/2006/relationships/hyperlink" Target="http://resolutions.hamiltontn.gov/resolutions/2012/612-27.pdf" TargetMode="External"/><Relationship Id="rId63" Type="http://schemas.openxmlformats.org/officeDocument/2006/relationships/hyperlink" Target="http://www.chattanooga.gov/city-council-files/OrdinancesAndResolutions/Resolutions/Resolutions%202017/29248%20PILOT%20-%20M_M%20Industries.pdf" TargetMode="External"/><Relationship Id="rId68" Type="http://schemas.openxmlformats.org/officeDocument/2006/relationships/hyperlink" Target="http://www.chattanooga.gov/city-council-files/OrdinancesAndResolutions/Resolutions/Resolutions%202019/29847%20Amend%20PILOT%20for%20Gestamp%20$48%20million.pdf" TargetMode="External"/><Relationship Id="rId76" Type="http://schemas.openxmlformats.org/officeDocument/2006/relationships/hyperlink" Target="http://www.chattanooga.gov/city-council-files/OrdinancesAndResolutions/Resolutions/Resolutions%202021/30649%20PILOT%20-%20CNE-Mai%20Bell%202.pdf" TargetMode="External"/><Relationship Id="rId84" Type="http://schemas.openxmlformats.org/officeDocument/2006/relationships/hyperlink" Target="https://chattanooga.gov/city-council-files/OrdinancesAndResolutions/Resolutions/Resolutions%202020/30577%202020-12-02%20PILOT%20Resolution%20-%20Battery%20Heights.pdf" TargetMode="External"/><Relationship Id="rId89" Type="http://schemas.openxmlformats.org/officeDocument/2006/relationships/printerSettings" Target="../printerSettings/printerSettings1.bin"/><Relationship Id="rId7" Type="http://schemas.openxmlformats.org/officeDocument/2006/relationships/hyperlink" Target="http://www.chattanooga.gov/city-council-files/OrdinancesAndResolutions/Resolutions/Resolutions%202014/28072%20PILOT%20Southern%20Champion.pdf" TargetMode="External"/><Relationship Id="rId71" Type="http://schemas.openxmlformats.org/officeDocument/2006/relationships/hyperlink" Target="http://resolutions.hamiltontn.gov/resolutions/2020/320-25.pdf" TargetMode="External"/><Relationship Id="rId2"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6" Type="http://schemas.openxmlformats.org/officeDocument/2006/relationships/hyperlink" Target="http://resolutions.hamiltontn.gov/resolutions/2010/1210-12.pdf" TargetMode="External"/><Relationship Id="rId29" Type="http://schemas.openxmlformats.org/officeDocument/2006/relationships/hyperlink" Target="http://www.chattanooga.gov/city-council-files/OrdinancesAndResolutions/Resolutions/Resolutions%202015/28302%20PILOT%20NEW%20Gestamp%20North%20America.pdf" TargetMode="External"/><Relationship Id="rId11" Type="http://schemas.openxmlformats.org/officeDocument/2006/relationships/hyperlink" Target="http://www.chattanooga.gov/city-council-files/OrdinancesAndResolutions/Resolutions/Resolutions%202012/27337_PILOT_UTC_Three.pdf" TargetMode="External"/><Relationship Id="rId24" Type="http://schemas.openxmlformats.org/officeDocument/2006/relationships/hyperlink" Target="http://resolutions.hamiltontn.gov/resolutions/2012/1212-21.pdf" TargetMode="External"/><Relationship Id="rId32" Type="http://schemas.openxmlformats.org/officeDocument/2006/relationships/hyperlink" Target="http://resolutions.hamiltontn.gov/resolutions/2015/715-17.pdf" TargetMode="External"/><Relationship Id="rId37" Type="http://schemas.openxmlformats.org/officeDocument/2006/relationships/hyperlink" Target="http://resolutions.hamiltontn.gov/resolutions/2015/1015-20.pdf" TargetMode="External"/><Relationship Id="rId40" Type="http://schemas.openxmlformats.org/officeDocument/2006/relationships/hyperlink" Target="http://resolutions.hamiltontn.gov/resolutions/2016/116-27.pdf" TargetMode="External"/><Relationship Id="rId45" Type="http://schemas.openxmlformats.org/officeDocument/2006/relationships/hyperlink" Target="http://resolutions.hamiltontn.gov/resolutions/2016/1216-8.pdf" TargetMode="External"/><Relationship Id="rId53" Type="http://schemas.openxmlformats.org/officeDocument/2006/relationships/hyperlink" Target="http://www.chattanooga.gov/city-council-files/OrdinancesAndResolutions/Resolutions/Resolutions%202015/28336%20PILOT%20Simpson%20Organization.pdf" TargetMode="External"/><Relationship Id="rId58" Type="http://schemas.openxmlformats.org/officeDocument/2006/relationships/hyperlink" Target="http://www.chattanooga.gov/city-council-files/OrdinancesAndResolutions/Resolutions/Resolutions%202012/27143%20App%20Economic%20Impact%20Plan%20for%20Black%20Creek%20Mountain.pdf" TargetMode="External"/><Relationship Id="rId66" Type="http://schemas.openxmlformats.org/officeDocument/2006/relationships/hyperlink" Target="http://resolutions.hamiltontn.gov/resolutions/2019/119-16.pdf" TargetMode="External"/><Relationship Id="rId74" Type="http://schemas.openxmlformats.org/officeDocument/2006/relationships/hyperlink" Target="http://www.hamiltontn.gov/PDF/docs/SKM_C36820120312130.pdf" TargetMode="External"/><Relationship Id="rId79" Type="http://schemas.openxmlformats.org/officeDocument/2006/relationships/hyperlink" Target="http://resolutions.hamiltontn.gov/resolutions/2021/421-30.pdf" TargetMode="External"/><Relationship Id="rId87" Type="http://schemas.openxmlformats.org/officeDocument/2006/relationships/hyperlink" Target="http://resolutions.hamiltontn.gov/resolutions/2022/822-24.pdf" TargetMode="External"/><Relationship Id="rId5" Type="http://schemas.openxmlformats.org/officeDocument/2006/relationships/hyperlink" Target="http://www.chattanooga.gov/city-council-files/OrdinancesAndResolutions/Resolutions/Resolutions%202009/25843%20Auth%20PILOT%20Agmt%20-%20Provident.pdf" TargetMode="External"/><Relationship Id="rId61" Type="http://schemas.openxmlformats.org/officeDocument/2006/relationships/hyperlink" Target="http://resolutions.hamiltontn.gov/resolutions/2018/1018-4.pdf" TargetMode="External"/><Relationship Id="rId82" Type="http://schemas.openxmlformats.org/officeDocument/2006/relationships/hyperlink" Target="https://chattanooga.gov/city-council-files/OrdinancesAndResolutions/Resolutions/Resolutions%202021/30824%20PILOT%20PUREGraphite.pdf" TargetMode="External"/><Relationship Id="rId19" Type="http://schemas.openxmlformats.org/officeDocument/2006/relationships/hyperlink" Target="http://resolutions.hamiltontn.gov/resolutions/2008/1008-27.pdf" TargetMode="External"/><Relationship Id="rId4" Type="http://schemas.openxmlformats.org/officeDocument/2006/relationships/hyperlink" Target="http://www.chattanooga.gov/city-council-files/OrdinancesAndResolutions/Resolutions/Resolutions%202014/27892%20PILOT%20Plastic%20Omnium.pdf" TargetMode="External"/><Relationship Id="rId9" Type="http://schemas.openxmlformats.org/officeDocument/2006/relationships/hyperlink" Target="http://www.chattanooga.gov/city-council-files/OrdinancesAndResolutions/Resolutions/Resolutions%202014/27960%20Aut%20MOU%20for%20VW%20CrossBlue%20Project.pdf" TargetMode="External"/><Relationship Id="rId14" Type="http://schemas.openxmlformats.org/officeDocument/2006/relationships/hyperlink" Target="http://resolutions.hamiltontn.gov/resolutions/2002/302-41A.pdf" TargetMode="External"/><Relationship Id="rId22" Type="http://schemas.openxmlformats.org/officeDocument/2006/relationships/hyperlink" Target="http://resolutions.hamiltontn.gov/resolutions/2014/714-31.pdf" TargetMode="External"/><Relationship Id="rId27" Type="http://schemas.openxmlformats.org/officeDocument/2006/relationships/hyperlink" Target="http://resolutions.hamiltontn.gov/resolutions/2015/515-28.pdf" TargetMode="External"/><Relationship Id="rId30" Type="http://schemas.openxmlformats.org/officeDocument/2006/relationships/hyperlink" Target="http://resolutions.hamiltontn.gov/resolutions/2015/715-15.pdf" TargetMode="External"/><Relationship Id="rId35" Type="http://schemas.openxmlformats.org/officeDocument/2006/relationships/hyperlink" Target="http://resolutions.hamiltontn.gov/resolutions/2010/710-4.pdf" TargetMode="External"/><Relationship Id="rId43" Type="http://schemas.openxmlformats.org/officeDocument/2006/relationships/hyperlink" Target="http://resolutions.hamiltontn.gov/resolutions/2010/1210-12.pdf" TargetMode="External"/><Relationship Id="rId48" Type="http://schemas.openxmlformats.org/officeDocument/2006/relationships/hyperlink" Target="http://resolutions.hamiltontn.gov/resolutions/2005/305-34.pdf" TargetMode="External"/><Relationship Id="rId56" Type="http://schemas.openxmlformats.org/officeDocument/2006/relationships/hyperlink" Target="http://resolutions.hamiltontn.gov/resolutions/2018/318-14.pdf" TargetMode="External"/><Relationship Id="rId64" Type="http://schemas.openxmlformats.org/officeDocument/2006/relationships/hyperlink" Target="http://resolutions.hamiltontn.gov/resolutions/2017/1117-27.pdf" TargetMode="External"/><Relationship Id="rId69" Type="http://schemas.openxmlformats.org/officeDocument/2006/relationships/hyperlink" Target="http://www.chattanooga.gov/city-council-files/OrdinancesAndResolutions/Resolutions/Resolutions%202019/30103%20TIF%20East%20Chattanooga%20-%20Tubman%20Site.pdf" TargetMode="External"/><Relationship Id="rId77" Type="http://schemas.openxmlformats.org/officeDocument/2006/relationships/hyperlink" Target="http://resolutions.hamiltontn.gov/resolutions/2021/1121-33.pdf" TargetMode="External"/><Relationship Id="rId8" Type="http://schemas.openxmlformats.org/officeDocument/2006/relationships/hyperlink" Target="http://www.chattanooga.gov/city-council-files/OrdinancesAndResolutions/Resolutions/Resolutions%202008/25738%20Auth%20PILOT%20Agmt%20-%20Volkswagen.pdf" TargetMode="External"/><Relationship Id="rId51" Type="http://schemas.openxmlformats.org/officeDocument/2006/relationships/hyperlink" Target="http://resolutions.hamiltontn.gov/resolutions/2015/215-37.pdf" TargetMode="External"/><Relationship Id="rId72" Type="http://schemas.openxmlformats.org/officeDocument/2006/relationships/hyperlink" Target="http://resolutions.hamiltontn.gov/resolutions/2020/820-26.pdf" TargetMode="External"/><Relationship Id="rId80" Type="http://schemas.openxmlformats.org/officeDocument/2006/relationships/hyperlink" Target="http://resolutions.hamiltontn.gov/resolutions/2020/1220-33.pdf" TargetMode="External"/><Relationship Id="rId85" Type="http://schemas.openxmlformats.org/officeDocument/2006/relationships/hyperlink" Target="https://chattanooga.gov/city-council-files/OrdinancesAndResolutions/Resolutions/Resolutions%202022/31194%20TIF%20South%20Broad%20District.pdf" TargetMode="External"/><Relationship Id="rId3"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12" Type="http://schemas.openxmlformats.org/officeDocument/2006/relationships/hyperlink" Target="http://www.chattanooga.gov/city-council-files/OrdinancesAndResolutions/Resolutions/Resolutions%202012/27336_PILOT_UTC_Two.pdf" TargetMode="External"/><Relationship Id="rId17" Type="http://schemas.openxmlformats.org/officeDocument/2006/relationships/hyperlink" Target="http://resolutions.hamiltontn.gov/resolutions/2014/614-19.pdf" TargetMode="External"/><Relationship Id="rId25" Type="http://schemas.openxmlformats.org/officeDocument/2006/relationships/hyperlink" Target="http://resolutions.hamiltontn.gov/resolutions/2012/1212-20.pdf" TargetMode="External"/><Relationship Id="rId33" Type="http://schemas.openxmlformats.org/officeDocument/2006/relationships/hyperlink" Target="http://www.chattanooga.gov/city-council-files/OrdinancesAndResolutions/Resolutions/Resolutions%202015/28256%20PILOT%20The%20KORE%20Company.pdf" TargetMode="External"/><Relationship Id="rId38" Type="http://schemas.openxmlformats.org/officeDocument/2006/relationships/hyperlink" Target="http://resolutions.hamiltontn.gov/resolutions/2015/1015-54.pdf" TargetMode="External"/><Relationship Id="rId46" Type="http://schemas.openxmlformats.org/officeDocument/2006/relationships/hyperlink" Target="http://www.chattanooga.gov/city-council-files/OrdinancesAndResolutions/Resolutions/Resolutions%202016/28835%20PILOT%20Resolution%20Jaycee%20Tower%20City.pdf" TargetMode="External"/><Relationship Id="rId59" Type="http://schemas.openxmlformats.org/officeDocument/2006/relationships/hyperlink" Target="http://resolutions.hamiltontn.gov/resolutions/2017/1217-30.pdf" TargetMode="External"/><Relationship Id="rId67" Type="http://schemas.openxmlformats.org/officeDocument/2006/relationships/hyperlink" Target="http://resolutions.hamiltontn.gov/resolutions/2019/319-14.pdf" TargetMode="External"/><Relationship Id="rId20" Type="http://schemas.openxmlformats.org/officeDocument/2006/relationships/hyperlink" Target="http://resolutions.hamiltontn.gov/resolutions/2014/1214-8.pdf" TargetMode="External"/><Relationship Id="rId41" Type="http://schemas.openxmlformats.org/officeDocument/2006/relationships/hyperlink" Target="http://www.chattanooga.gov/city-council-files/OrdinancesAndResolutions/Resolutions/Resolutions%202016/28815%20PILOT-ECG%20Chestnut%20LP.pdf" TargetMode="External"/><Relationship Id="rId54" Type="http://schemas.openxmlformats.org/officeDocument/2006/relationships/hyperlink" Target="http://resolutions.hamiltontn.gov/resolutions/2015/815-19.pdf" TargetMode="External"/><Relationship Id="rId62" Type="http://schemas.openxmlformats.org/officeDocument/2006/relationships/hyperlink" Target="http://www.chattanooga.gov/city-council-files/OrdinancesAndResolutions/Resolutions/Resolutions%202018/29634%20PILOT%20-%20Ridgeway%20Apartments.pdf" TargetMode="External"/><Relationship Id="rId70" Type="http://schemas.openxmlformats.org/officeDocument/2006/relationships/hyperlink" Target="http://resolutions.hamiltontn.gov/resolutions/2019/1219-27.pdf" TargetMode="External"/><Relationship Id="rId75" Type="http://schemas.openxmlformats.org/officeDocument/2006/relationships/hyperlink" Target="http://resolutions.hamiltontn.gov/resolutions/2021/321-14.pdf" TargetMode="External"/><Relationship Id="rId83" Type="http://schemas.openxmlformats.org/officeDocument/2006/relationships/hyperlink" Target="https://chattanooga.gov/city-council-files/OrdinancesAndResolutions/Resolutions/Resolutions%202021/30660%20PILOT%20-%20The%20Reserve%20at%20Mountain%20Pass.pdf" TargetMode="External"/><Relationship Id="rId88" Type="http://schemas.openxmlformats.org/officeDocument/2006/relationships/hyperlink" Target="http://resolutions.hamiltontn.gov/resolutions/2022/722-34.pdf" TargetMode="External"/><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08/25682%20Auth%20PILOT%20Agmt%20-%20RiverCity%20Company%20-%20Movie%20Theater.pdf" TargetMode="External"/><Relationship Id="rId15" Type="http://schemas.openxmlformats.org/officeDocument/2006/relationships/hyperlink" Target="http://resolutions.hamiltontn.gov/resolutions/2014/314-25.pdf" TargetMode="External"/><Relationship Id="rId23" Type="http://schemas.openxmlformats.org/officeDocument/2006/relationships/hyperlink" Target="http://resolutions.hamiltontn.gov/resolutions/2006/1006-36.pdf" TargetMode="External"/><Relationship Id="rId28" Type="http://schemas.openxmlformats.org/officeDocument/2006/relationships/hyperlink" Target="http://www.chattanooga.gov/city-council-files/OrdinancesAndResolutions/Resolutions/Resolutions%202015/28301%20PILOT%20Expansion%20Gestamp.pdf" TargetMode="External"/><Relationship Id="rId36" Type="http://schemas.openxmlformats.org/officeDocument/2006/relationships/hyperlink" Target="http://www.chattanooga.gov/city-council-files/OrdinancesAndResolutions/Resolutions/Resolutions%202015/28424%20PILOT%20Gestamp.pdf" TargetMode="External"/><Relationship Id="rId49" Type="http://schemas.openxmlformats.org/officeDocument/2006/relationships/hyperlink" Target="http://www.chattanooga.gov/city-council-files/OrdinancesAndResolutions/Resolutions/Resolutions%202017/29035%20PILOT%20HomeServ.pdf" TargetMode="External"/><Relationship Id="rId57" Type="http://schemas.openxmlformats.org/officeDocument/2006/relationships/hyperlink" Target="http://chattanooga.gov/city-council-files/OrdinancesAndResolutions/Resolutions/Resolutions%202018/29336%20Economic%20Impact%20Plan%20ML%20King%20v2.pdf" TargetMode="External"/><Relationship Id="rId10" Type="http://schemas.openxmlformats.org/officeDocument/2006/relationships/hyperlink" Target="http://www.chattanooga.gov/city-council-files/OrdinancesAndResolutions/Resolutions/Resolutions%202006/24923%20Auth%20Wrigley%20PILOT%20Agmt%20-%20County%20IDB.DOC" TargetMode="External"/><Relationship Id="rId31" Type="http://schemas.openxmlformats.org/officeDocument/2006/relationships/hyperlink" Target="http://resolutions.hamiltontn.gov/resolutions/2015/715-16.pdf" TargetMode="External"/><Relationship Id="rId44"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52" Type="http://schemas.openxmlformats.org/officeDocument/2006/relationships/hyperlink" Target="http://www.chattanooga.gov/city-council-files/OrdinancesAndResolutions/Resolutions/Resolutions%202015/28139%20PILOT%20UTC%20Five.pdf" TargetMode="External"/><Relationship Id="rId60" Type="http://schemas.openxmlformats.org/officeDocument/2006/relationships/hyperlink" Target="http://www.chattanooga.gov/city-council-files/OrdinancesAndResolutions/Resolutions/Resolutions%202017/29215%20PILOT%20Bayberry%20Apts%20v3.pdf" TargetMode="External"/><Relationship Id="rId65" Type="http://schemas.openxmlformats.org/officeDocument/2006/relationships/hyperlink" Target="http://www.chattanooga.gov/city-council-files/OrdinancesAndResolutions/Resolutions/Resolutions%202018/29744%20PILOT%20Patten%20Towers.pdf" TargetMode="External"/><Relationship Id="rId73" Type="http://schemas.openxmlformats.org/officeDocument/2006/relationships/hyperlink" Target="http://www.hamiltontn.gov/PDF/docs/SKM_C36820120312030.pdf" TargetMode="External"/><Relationship Id="rId78" Type="http://schemas.openxmlformats.org/officeDocument/2006/relationships/hyperlink" Target="http://resolutions.hamiltontn.gov/resolutions/2021/721-6.pdf" TargetMode="External"/><Relationship Id="rId81" Type="http://schemas.openxmlformats.org/officeDocument/2006/relationships/hyperlink" Target="https://chattanooga.gov/city-council-files/OrdinancesAndResolutions/Resolutions/Resolutions%202021/30938%20PILOT%20-%20Steam%20Logistics.pdf" TargetMode="External"/><Relationship Id="rId86" Type="http://schemas.openxmlformats.org/officeDocument/2006/relationships/hyperlink" Target="https://chattanooga.gov/city-council-files/OrdinancesAndResolutions/Resolutions/Resolutions%202022/31115%202022.05.17%20TIF%20Access%20Road%20(North%20River%20Commerce%20Center)%20v2%20-%20m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Q120"/>
  <sheetViews>
    <sheetView tabSelected="1" zoomScaleNormal="100" workbookViewId="0">
      <pane xSplit="5" ySplit="3" topLeftCell="F4" activePane="bottomRight" state="frozen"/>
      <selection activeCell="A2" sqref="A2"/>
      <selection pane="topRight" activeCell="F2" sqref="F2"/>
      <selection pane="bottomLeft" activeCell="A4" sqref="A4"/>
      <selection pane="bottomRight" activeCell="AN1" sqref="AN1:AN1048576"/>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16384" width="17.28515625" style="22"/>
  </cols>
  <sheetData>
    <row r="1" spans="1:39" customFormat="1" ht="12.75" x14ac:dyDescent="0.2">
      <c r="A1" s="22"/>
      <c r="E1" s="15"/>
      <c r="I1" s="4"/>
      <c r="M1" s="4"/>
      <c r="N1" s="22"/>
      <c r="O1" s="22"/>
      <c r="Q1" s="32"/>
      <c r="R1" s="27"/>
      <c r="S1" s="1"/>
      <c r="T1" s="1"/>
      <c r="U1" s="34"/>
      <c r="V1" s="4"/>
      <c r="W1" s="400">
        <v>2.25</v>
      </c>
      <c r="X1" s="400">
        <f>1.2177+0.008</f>
        <v>1.2257</v>
      </c>
      <c r="Y1" s="400">
        <v>1.0116000000000001</v>
      </c>
      <c r="Z1" s="2"/>
      <c r="AA1" s="4"/>
      <c r="AB1" s="3"/>
      <c r="AC1" s="3"/>
      <c r="AD1" s="3"/>
      <c r="AE1" s="3"/>
      <c r="AF1" s="3"/>
      <c r="AG1" s="4"/>
      <c r="AH1" s="1"/>
      <c r="AI1" s="1"/>
      <c r="AJ1" s="1"/>
      <c r="AK1" s="1"/>
      <c r="AL1" s="1"/>
    </row>
    <row r="2" spans="1:39" customFormat="1" ht="15" customHeight="1" thickBot="1" x14ac:dyDescent="0.25">
      <c r="A2" s="22"/>
      <c r="E2" s="15"/>
      <c r="F2" s="434" t="s">
        <v>45</v>
      </c>
      <c r="G2" s="434"/>
      <c r="H2" s="434"/>
      <c r="I2" s="36"/>
      <c r="J2" s="434" t="s">
        <v>46</v>
      </c>
      <c r="K2" s="434"/>
      <c r="L2" s="434"/>
      <c r="M2" s="36"/>
      <c r="N2" s="22"/>
      <c r="O2" s="22"/>
      <c r="Q2" s="32"/>
      <c r="R2" s="27"/>
      <c r="S2" s="1"/>
      <c r="T2" s="1"/>
      <c r="U2" s="34"/>
      <c r="V2" s="5"/>
      <c r="W2" s="7" t="s">
        <v>34</v>
      </c>
      <c r="X2" s="7"/>
      <c r="Y2" s="7"/>
      <c r="Z2" s="7"/>
      <c r="AA2" s="5"/>
      <c r="AB2" s="435" t="s">
        <v>72</v>
      </c>
      <c r="AC2" s="436"/>
      <c r="AD2" s="436"/>
      <c r="AE2" s="436"/>
      <c r="AF2" s="437"/>
      <c r="AG2" s="5"/>
      <c r="AH2" s="438" t="s">
        <v>40</v>
      </c>
      <c r="AI2" s="439"/>
      <c r="AJ2" s="439"/>
      <c r="AK2" s="439"/>
      <c r="AL2" s="440"/>
    </row>
    <row r="3" spans="1:39" s="15" customFormat="1" ht="24" customHeight="1" x14ac:dyDescent="0.2">
      <c r="A3" s="16" t="s">
        <v>0</v>
      </c>
      <c r="B3" s="8" t="s">
        <v>3</v>
      </c>
      <c r="C3" s="24" t="s">
        <v>8</v>
      </c>
      <c r="D3" s="24" t="s">
        <v>9</v>
      </c>
      <c r="E3" s="8" t="s">
        <v>64</v>
      </c>
      <c r="F3" s="8" t="s">
        <v>57</v>
      </c>
      <c r="G3" s="14" t="s">
        <v>5</v>
      </c>
      <c r="H3" s="14" t="s">
        <v>76</v>
      </c>
      <c r="I3" s="12"/>
      <c r="J3" s="8" t="s">
        <v>57</v>
      </c>
      <c r="K3" s="14" t="s">
        <v>5</v>
      </c>
      <c r="L3" s="14" t="s">
        <v>76</v>
      </c>
      <c r="M3" s="12"/>
      <c r="N3" s="16" t="s">
        <v>6</v>
      </c>
      <c r="O3" s="16" t="s">
        <v>7</v>
      </c>
      <c r="P3" s="16" t="s">
        <v>1</v>
      </c>
      <c r="Q3" s="30" t="s">
        <v>2</v>
      </c>
      <c r="R3" s="16" t="s">
        <v>88</v>
      </c>
      <c r="S3" s="12" t="s">
        <v>119</v>
      </c>
      <c r="T3" s="9" t="s">
        <v>4</v>
      </c>
      <c r="U3" s="12" t="s">
        <v>33</v>
      </c>
      <c r="V3" s="12"/>
      <c r="W3" s="11" t="s">
        <v>35</v>
      </c>
      <c r="X3" s="11" t="s">
        <v>36</v>
      </c>
      <c r="Y3" s="11" t="s">
        <v>37</v>
      </c>
      <c r="Z3" s="10" t="s">
        <v>39</v>
      </c>
      <c r="AA3" s="12"/>
      <c r="AB3" s="21" t="s">
        <v>210</v>
      </c>
      <c r="AC3" s="21" t="s">
        <v>211</v>
      </c>
      <c r="AD3" s="21" t="s">
        <v>212</v>
      </c>
      <c r="AE3" s="21" t="s">
        <v>75</v>
      </c>
      <c r="AF3" s="21" t="s">
        <v>73</v>
      </c>
      <c r="AG3" s="12"/>
      <c r="AH3" s="13" t="s">
        <v>41</v>
      </c>
      <c r="AI3" s="13" t="s">
        <v>42</v>
      </c>
      <c r="AJ3" s="13" t="s">
        <v>43</v>
      </c>
      <c r="AK3" s="13" t="s">
        <v>75</v>
      </c>
      <c r="AL3" s="13" t="s">
        <v>44</v>
      </c>
    </row>
    <row r="4" spans="1:39" s="19" customFormat="1" ht="38.25" customHeight="1" x14ac:dyDescent="0.25">
      <c r="A4" s="20" t="s">
        <v>47</v>
      </c>
      <c r="B4" s="16"/>
      <c r="C4" s="16"/>
      <c r="D4" s="16"/>
      <c r="E4" s="16"/>
      <c r="F4" s="16"/>
      <c r="G4" s="17"/>
      <c r="H4" s="17"/>
      <c r="I4" s="12"/>
      <c r="J4" s="16"/>
      <c r="K4" s="17"/>
      <c r="L4" s="17"/>
      <c r="M4" s="12"/>
      <c r="N4" s="16"/>
      <c r="O4" s="16"/>
      <c r="P4" s="16"/>
      <c r="Q4" s="30"/>
      <c r="R4" s="28"/>
      <c r="S4" s="12"/>
      <c r="T4" s="12"/>
      <c r="U4" s="240"/>
      <c r="V4" s="12"/>
      <c r="W4" s="18"/>
      <c r="X4" s="18"/>
      <c r="Y4" s="18"/>
      <c r="Z4" s="12"/>
      <c r="AA4" s="12"/>
      <c r="AB4" s="18"/>
      <c r="AC4" s="18"/>
      <c r="AD4" s="18"/>
      <c r="AE4" s="234"/>
      <c r="AF4" s="12"/>
      <c r="AG4" s="12"/>
      <c r="AH4" s="35"/>
      <c r="AI4" s="12"/>
      <c r="AJ4" s="12"/>
      <c r="AK4" s="12"/>
      <c r="AL4" s="12"/>
    </row>
    <row r="5" spans="1:39" s="58" customFormat="1" ht="25.5" customHeight="1" x14ac:dyDescent="0.2">
      <c r="A5" s="40" t="s">
        <v>20</v>
      </c>
      <c r="B5" s="41" t="s">
        <v>21</v>
      </c>
      <c r="C5" s="42">
        <v>35.068630239999997</v>
      </c>
      <c r="D5" s="42">
        <v>-85.142667220000007</v>
      </c>
      <c r="E5" s="43" t="s">
        <v>65</v>
      </c>
      <c r="F5" s="42">
        <v>26502</v>
      </c>
      <c r="G5" s="44">
        <v>40512</v>
      </c>
      <c r="H5" s="45" t="s">
        <v>77</v>
      </c>
      <c r="I5" s="46"/>
      <c r="J5" s="42" t="s">
        <v>50</v>
      </c>
      <c r="K5" s="44">
        <v>40513</v>
      </c>
      <c r="L5" s="235" t="s">
        <v>77</v>
      </c>
      <c r="M5" s="46"/>
      <c r="N5" s="47">
        <v>2012</v>
      </c>
      <c r="O5" s="47">
        <v>2022</v>
      </c>
      <c r="P5" s="48">
        <v>1249</v>
      </c>
      <c r="Q5" s="49">
        <v>30500</v>
      </c>
      <c r="R5" s="50" t="s">
        <v>132</v>
      </c>
      <c r="S5" s="51">
        <v>91000000</v>
      </c>
      <c r="T5" s="51"/>
      <c r="U5" s="368">
        <v>4124747</v>
      </c>
      <c r="V5" s="46"/>
      <c r="W5" s="52">
        <f t="shared" ref="W5:X10" si="0">+$U5*W$1/100</f>
        <v>92806.807499999995</v>
      </c>
      <c r="X5" s="52">
        <f t="shared" si="0"/>
        <v>50557.023979000005</v>
      </c>
      <c r="Y5" s="52">
        <f>ROUND(+$U5*Y$1/100,2)</f>
        <v>41725.94</v>
      </c>
      <c r="Z5" s="52">
        <f t="shared" ref="Z5:Z18" si="1">+W5+X5+Y5</f>
        <v>185089.77147899999</v>
      </c>
      <c r="AA5" s="46"/>
      <c r="AB5" s="53">
        <v>0</v>
      </c>
      <c r="AC5" s="54">
        <v>0</v>
      </c>
      <c r="AD5" s="54">
        <f>Y5</f>
        <v>41725.94</v>
      </c>
      <c r="AE5" s="54"/>
      <c r="AF5" s="54">
        <f t="shared" ref="AF5:AF18" si="2">+AB5+AC5+AD5+AE5</f>
        <v>41725.94</v>
      </c>
      <c r="AG5" s="261"/>
      <c r="AH5" s="55">
        <f t="shared" ref="AH5:AJ18" si="3">+W5-AB5</f>
        <v>92806.807499999995</v>
      </c>
      <c r="AI5" s="56">
        <f t="shared" si="3"/>
        <v>50557.023979000005</v>
      </c>
      <c r="AJ5" s="57">
        <f t="shared" si="3"/>
        <v>0</v>
      </c>
      <c r="AK5" s="56">
        <f t="shared" ref="AK5:AK18" si="4">-AE5</f>
        <v>0</v>
      </c>
      <c r="AL5" s="56">
        <f t="shared" ref="AL5:AL18" si="5">+Z5-AF5</f>
        <v>143363.83147899999</v>
      </c>
    </row>
    <row r="6" spans="1:39" s="58" customFormat="1" ht="25.5" customHeight="1" x14ac:dyDescent="0.2">
      <c r="A6" s="59" t="s">
        <v>122</v>
      </c>
      <c r="B6" s="60" t="s">
        <v>22</v>
      </c>
      <c r="C6" s="61">
        <v>35.069798300000002</v>
      </c>
      <c r="D6" s="61">
        <v>-85.135412052999996</v>
      </c>
      <c r="E6" s="62" t="s">
        <v>66</v>
      </c>
      <c r="F6" s="61">
        <v>26502</v>
      </c>
      <c r="G6" s="63">
        <v>40512</v>
      </c>
      <c r="H6" s="64" t="s">
        <v>77</v>
      </c>
      <c r="I6" s="65"/>
      <c r="J6" s="61" t="s">
        <v>50</v>
      </c>
      <c r="K6" s="63">
        <v>40513</v>
      </c>
      <c r="L6" s="154" t="s">
        <v>77</v>
      </c>
      <c r="M6" s="65"/>
      <c r="N6" s="66">
        <v>2012</v>
      </c>
      <c r="O6" s="66">
        <v>2022</v>
      </c>
      <c r="P6" s="67">
        <v>1249</v>
      </c>
      <c r="Q6" s="68">
        <v>30500</v>
      </c>
      <c r="R6" s="50" t="s">
        <v>133</v>
      </c>
      <c r="S6" s="70">
        <f>51000000+40000000</f>
        <v>91000000</v>
      </c>
      <c r="T6" s="70"/>
      <c r="U6" s="369">
        <v>27731640</v>
      </c>
      <c r="V6" s="65"/>
      <c r="W6" s="71">
        <f>+$U6*W$1/100</f>
        <v>623961.9</v>
      </c>
      <c r="X6" s="71">
        <f>+$U6*X$1/100</f>
        <v>339906.71148</v>
      </c>
      <c r="Y6" s="71">
        <f>+$U6*Y$1/100</f>
        <v>280533.27023999998</v>
      </c>
      <c r="Z6" s="71">
        <f>+W6+X6+Y6</f>
        <v>1244401.8817199999</v>
      </c>
      <c r="AA6" s="65"/>
      <c r="AB6" s="72">
        <v>0</v>
      </c>
      <c r="AC6" s="73">
        <v>0</v>
      </c>
      <c r="AD6" s="73">
        <f>Y6</f>
        <v>280533.27023999998</v>
      </c>
      <c r="AE6" s="73"/>
      <c r="AF6" s="73">
        <f>+AB6+AC6+AD6+AE6</f>
        <v>280533.27023999998</v>
      </c>
      <c r="AG6" s="256"/>
      <c r="AH6" s="74">
        <f>+W6-AB6</f>
        <v>623961.9</v>
      </c>
      <c r="AI6" s="75">
        <f>+X6-AC6</f>
        <v>339906.71148</v>
      </c>
      <c r="AJ6" s="75">
        <f>+Y6-AD6</f>
        <v>0</v>
      </c>
      <c r="AK6" s="75">
        <f>-AE6</f>
        <v>0</v>
      </c>
      <c r="AL6" s="75">
        <f>+Z6-AF6</f>
        <v>963868.61147999996</v>
      </c>
    </row>
    <row r="7" spans="1:39" s="58" customFormat="1" ht="25.5" customHeight="1" x14ac:dyDescent="0.2">
      <c r="A7" s="79" t="s">
        <v>123</v>
      </c>
      <c r="B7" s="80" t="s">
        <v>124</v>
      </c>
      <c r="C7" s="81">
        <v>35.052216000000001</v>
      </c>
      <c r="D7" s="81">
        <v>-85.317967999999993</v>
      </c>
      <c r="E7" s="82" t="s">
        <v>125</v>
      </c>
      <c r="F7" s="81">
        <v>24361</v>
      </c>
      <c r="G7" s="83">
        <v>38433</v>
      </c>
      <c r="H7" s="84" t="s">
        <v>77</v>
      </c>
      <c r="I7" s="85"/>
      <c r="J7" s="86" t="s">
        <v>126</v>
      </c>
      <c r="K7" s="87">
        <v>38434</v>
      </c>
      <c r="L7" s="88" t="s">
        <v>77</v>
      </c>
      <c r="M7" s="85"/>
      <c r="N7" s="89">
        <v>2010</v>
      </c>
      <c r="O7" s="89">
        <v>2025</v>
      </c>
      <c r="P7" s="90"/>
      <c r="Q7" s="91"/>
      <c r="R7" s="92" t="s">
        <v>10</v>
      </c>
      <c r="S7" s="93"/>
      <c r="T7" s="93"/>
      <c r="U7" s="292">
        <f>38892440+54161160+429960+11898284</f>
        <v>105381844</v>
      </c>
      <c r="V7" s="85"/>
      <c r="W7" s="94">
        <f t="shared" ref="W7:Y7" si="6">+$U7*W$1/100</f>
        <v>2371091.4900000002</v>
      </c>
      <c r="X7" s="94">
        <f t="shared" si="6"/>
        <v>1291665.2619079999</v>
      </c>
      <c r="Y7" s="94">
        <f t="shared" si="6"/>
        <v>1066042.7339040001</v>
      </c>
      <c r="Z7" s="94">
        <f t="shared" ref="Z7" si="7">+W7+X7+Y7</f>
        <v>4728799.485812</v>
      </c>
      <c r="AA7" s="85"/>
      <c r="AB7" s="95">
        <f t="shared" ref="AB7:AD7" si="8">W7/2</f>
        <v>1185545.7450000001</v>
      </c>
      <c r="AC7" s="95">
        <f t="shared" si="8"/>
        <v>645832.63095399993</v>
      </c>
      <c r="AD7" s="95">
        <f t="shared" si="8"/>
        <v>533021.36695200007</v>
      </c>
      <c r="AE7" s="96"/>
      <c r="AF7" s="96">
        <f t="shared" ref="AF7" si="9">+AB7+AC7+AD7+AE7</f>
        <v>2364399.742906</v>
      </c>
      <c r="AG7" s="85"/>
      <c r="AH7" s="97">
        <f t="shared" ref="AH7:AJ7" si="10">+W7-AB7</f>
        <v>1185545.7450000001</v>
      </c>
      <c r="AI7" s="97">
        <f t="shared" si="10"/>
        <v>645832.63095399993</v>
      </c>
      <c r="AJ7" s="97">
        <f t="shared" si="10"/>
        <v>533021.36695200007</v>
      </c>
      <c r="AK7" s="97">
        <f t="shared" ref="AK7" si="11">-AE7</f>
        <v>0</v>
      </c>
      <c r="AL7" s="97">
        <f t="shared" ref="AL7" si="12">+Z7-AF7</f>
        <v>2364399.742906</v>
      </c>
    </row>
    <row r="8" spans="1:39" s="58" customFormat="1" ht="25.5" customHeight="1" x14ac:dyDescent="0.2">
      <c r="A8" s="59" t="s">
        <v>78</v>
      </c>
      <c r="B8" s="60" t="s">
        <v>11</v>
      </c>
      <c r="C8" s="61">
        <v>35.047637000000002</v>
      </c>
      <c r="D8" s="61">
        <v>-85.186363</v>
      </c>
      <c r="E8" s="62" t="s">
        <v>110</v>
      </c>
      <c r="F8" s="61">
        <v>27804</v>
      </c>
      <c r="G8" s="63">
        <v>41709</v>
      </c>
      <c r="H8" s="64" t="s">
        <v>77</v>
      </c>
      <c r="I8" s="65"/>
      <c r="J8" s="66" t="s">
        <v>71</v>
      </c>
      <c r="K8" s="101">
        <v>41717</v>
      </c>
      <c r="L8" s="154" t="s">
        <v>77</v>
      </c>
      <c r="M8" s="65"/>
      <c r="N8" s="66">
        <v>2016</v>
      </c>
      <c r="O8" s="66">
        <v>2027</v>
      </c>
      <c r="P8" s="76">
        <f>43+270</f>
        <v>313</v>
      </c>
      <c r="Q8" s="68">
        <v>45000</v>
      </c>
      <c r="R8" s="69" t="s">
        <v>169</v>
      </c>
      <c r="S8" s="70">
        <v>62000000</v>
      </c>
      <c r="T8" s="70"/>
      <c r="U8" s="369">
        <f>18862280+1324985</f>
        <v>20187265</v>
      </c>
      <c r="V8" s="65"/>
      <c r="W8" s="71">
        <f>+$U8*W$1/100</f>
        <v>454213.46250000002</v>
      </c>
      <c r="X8" s="71">
        <f t="shared" si="0"/>
        <v>247435.30710500001</v>
      </c>
      <c r="Y8" s="71">
        <f>+$U8*Y$1/100</f>
        <v>204214.37273999999</v>
      </c>
      <c r="Z8" s="71">
        <f t="shared" si="1"/>
        <v>905863.14234500006</v>
      </c>
      <c r="AA8" s="65"/>
      <c r="AB8" s="73">
        <f>W8*0.45</f>
        <v>204396.05812500001</v>
      </c>
      <c r="AC8" s="73">
        <f>X8*0.45</f>
        <v>111345.88819725001</v>
      </c>
      <c r="AD8" s="73">
        <f>Y8</f>
        <v>204214.37273999999</v>
      </c>
      <c r="AE8" s="73">
        <f>SUM(W8:X8)*0.05</f>
        <v>35082.438480250006</v>
      </c>
      <c r="AF8" s="73">
        <f t="shared" si="2"/>
        <v>555038.75754249992</v>
      </c>
      <c r="AG8" s="256"/>
      <c r="AH8" s="74">
        <f t="shared" si="3"/>
        <v>249817.40437500001</v>
      </c>
      <c r="AI8" s="75">
        <f t="shared" si="3"/>
        <v>136089.41890774999</v>
      </c>
      <c r="AJ8" s="75">
        <f t="shared" si="3"/>
        <v>0</v>
      </c>
      <c r="AK8" s="75">
        <f t="shared" si="4"/>
        <v>-35082.438480250006</v>
      </c>
      <c r="AL8" s="75">
        <f t="shared" si="5"/>
        <v>350824.38480250014</v>
      </c>
    </row>
    <row r="9" spans="1:39" s="58" customFormat="1" ht="25.5" customHeight="1" x14ac:dyDescent="0.2">
      <c r="A9" s="242" t="s">
        <v>82</v>
      </c>
      <c r="B9" s="141"/>
      <c r="C9" s="243"/>
      <c r="D9" s="243"/>
      <c r="E9" s="146" t="s">
        <v>164</v>
      </c>
      <c r="F9" s="61">
        <v>28302</v>
      </c>
      <c r="G9" s="63">
        <v>42185</v>
      </c>
      <c r="H9" s="103" t="s">
        <v>77</v>
      </c>
      <c r="I9" s="65"/>
      <c r="J9" s="62" t="s">
        <v>93</v>
      </c>
      <c r="K9" s="104">
        <v>42186</v>
      </c>
      <c r="L9" s="152" t="s">
        <v>77</v>
      </c>
      <c r="M9" s="65"/>
      <c r="N9" s="66">
        <v>2017</v>
      </c>
      <c r="O9" s="66">
        <v>2026</v>
      </c>
      <c r="P9" s="98">
        <v>136</v>
      </c>
      <c r="Q9" s="68"/>
      <c r="R9" s="69"/>
      <c r="S9" s="70">
        <v>39100000</v>
      </c>
      <c r="T9" s="70"/>
      <c r="U9" s="369">
        <f>18235720+3568221</f>
        <v>21803941</v>
      </c>
      <c r="V9" s="65"/>
      <c r="W9" s="244">
        <f>+$U9*W$1/100</f>
        <v>490588.67249999999</v>
      </c>
      <c r="X9" s="244">
        <f t="shared" si="0"/>
        <v>267250.90483700001</v>
      </c>
      <c r="Y9" s="244">
        <f>+$U9*Y$1/100</f>
        <v>220568.66715600004</v>
      </c>
      <c r="Z9" s="244">
        <f t="shared" ref="Z9" si="13">+W9+X9+Y9</f>
        <v>978408.24449300009</v>
      </c>
      <c r="AA9" s="65"/>
      <c r="AB9" s="279">
        <f>W9*0.4</f>
        <v>196235.46900000001</v>
      </c>
      <c r="AC9" s="105">
        <f>X9*0.5</f>
        <v>133625.4524185</v>
      </c>
      <c r="AD9" s="73">
        <f>Y9</f>
        <v>220568.66715600004</v>
      </c>
      <c r="AE9" s="258">
        <f>SUM(X9:Y9)*0.1253+SUM(W9*0.15)</f>
        <v>134712.09324572291</v>
      </c>
      <c r="AF9" s="73">
        <f>SUM(AB9:AE9)</f>
        <v>685141.68182022299</v>
      </c>
      <c r="AG9" s="256"/>
      <c r="AH9" s="259">
        <f t="shared" ref="AH9:AH10" si="14">+W9-AB9</f>
        <v>294353.20349999995</v>
      </c>
      <c r="AI9" s="257">
        <f t="shared" ref="AI9:AI10" si="15">+X9-AC9</f>
        <v>133625.4524185</v>
      </c>
      <c r="AJ9" s="257">
        <f t="shared" ref="AJ9:AJ10" si="16">+Y9-AD9</f>
        <v>0</v>
      </c>
      <c r="AK9" s="257">
        <f t="shared" ref="AK9:AK10" si="17">-AE9</f>
        <v>-134712.09324572291</v>
      </c>
      <c r="AL9" s="75">
        <f t="shared" si="5"/>
        <v>293266.5626727771</v>
      </c>
      <c r="AM9" s="106"/>
    </row>
    <row r="10" spans="1:39" s="58" customFormat="1" ht="25.5" customHeight="1" x14ac:dyDescent="0.2">
      <c r="A10" s="291" t="s">
        <v>127</v>
      </c>
      <c r="B10" s="141"/>
      <c r="C10" s="289"/>
      <c r="D10" s="289"/>
      <c r="E10" s="146" t="s">
        <v>179</v>
      </c>
      <c r="F10" s="61">
        <v>29035</v>
      </c>
      <c r="G10" s="63">
        <v>42871</v>
      </c>
      <c r="H10" s="103" t="s">
        <v>77</v>
      </c>
      <c r="I10" s="65"/>
      <c r="J10" s="62" t="s">
        <v>128</v>
      </c>
      <c r="K10" s="104">
        <v>42872</v>
      </c>
      <c r="L10" s="152" t="s">
        <v>77</v>
      </c>
      <c r="M10" s="65"/>
      <c r="N10" s="66">
        <v>2019</v>
      </c>
      <c r="O10" s="66">
        <v>2023</v>
      </c>
      <c r="P10" s="98">
        <v>192</v>
      </c>
      <c r="Q10" s="68">
        <v>39250</v>
      </c>
      <c r="R10" s="69"/>
      <c r="S10" s="70">
        <v>5700000</v>
      </c>
      <c r="T10" s="70"/>
      <c r="U10" s="370">
        <f>2208560+288065</f>
        <v>2496625</v>
      </c>
      <c r="V10" s="65"/>
      <c r="W10" s="285">
        <f>+$U10*W$1/100</f>
        <v>56174.0625</v>
      </c>
      <c r="X10" s="285">
        <f t="shared" si="0"/>
        <v>30601.132625000002</v>
      </c>
      <c r="Y10" s="285">
        <f>+$U10*Y$1/100</f>
        <v>25255.858500000002</v>
      </c>
      <c r="Z10" s="285">
        <f t="shared" ref="Z10" si="18">+W10+X10+Y10</f>
        <v>112031.053625</v>
      </c>
      <c r="AA10" s="65"/>
      <c r="AB10" s="72">
        <f>W10*0.5</f>
        <v>28087.03125</v>
      </c>
      <c r="AC10" s="105">
        <f>(X10*0.5)+7281.92+949.79</f>
        <v>23532.276312500002</v>
      </c>
      <c r="AD10" s="73">
        <f>Y10</f>
        <v>25255.858500000002</v>
      </c>
      <c r="AE10" s="287">
        <f>SUM(X10:Y10)*0.1253+SUM(W10*0.15)</f>
        <v>15424.990362962501</v>
      </c>
      <c r="AF10" s="287">
        <f>SUM(AB10:AE10)</f>
        <v>92300.156425462512</v>
      </c>
      <c r="AG10" s="256"/>
      <c r="AH10" s="259">
        <f t="shared" si="14"/>
        <v>28087.03125</v>
      </c>
      <c r="AI10" s="257">
        <f t="shared" si="15"/>
        <v>7068.8563125000001</v>
      </c>
      <c r="AJ10" s="257">
        <f t="shared" si="16"/>
        <v>0</v>
      </c>
      <c r="AK10" s="257">
        <f t="shared" si="17"/>
        <v>-15424.990362962501</v>
      </c>
      <c r="AL10" s="257">
        <f t="shared" si="5"/>
        <v>19730.897199537489</v>
      </c>
      <c r="AM10" s="106"/>
    </row>
    <row r="11" spans="1:39" s="58" customFormat="1" ht="25.5" customHeight="1" x14ac:dyDescent="0.2">
      <c r="A11" s="59" t="s">
        <v>13</v>
      </c>
      <c r="B11" s="60" t="s">
        <v>14</v>
      </c>
      <c r="C11" s="61">
        <v>35.077647599999999</v>
      </c>
      <c r="D11" s="61">
        <v>-85.153917399999997</v>
      </c>
      <c r="E11" s="62" t="s">
        <v>100</v>
      </c>
      <c r="F11" s="61">
        <v>27892</v>
      </c>
      <c r="G11" s="63">
        <v>41793</v>
      </c>
      <c r="H11" s="64" t="s">
        <v>77</v>
      </c>
      <c r="I11" s="65"/>
      <c r="J11" s="61" t="s">
        <v>52</v>
      </c>
      <c r="K11" s="63">
        <v>41794</v>
      </c>
      <c r="L11" s="154" t="s">
        <v>77</v>
      </c>
      <c r="M11" s="65"/>
      <c r="N11" s="66">
        <v>2014</v>
      </c>
      <c r="O11" s="66">
        <v>2025</v>
      </c>
      <c r="P11" s="76">
        <v>250</v>
      </c>
      <c r="Q11" s="68">
        <v>44699</v>
      </c>
      <c r="R11" s="69"/>
      <c r="S11" s="70">
        <v>50000000</v>
      </c>
      <c r="T11" s="70"/>
      <c r="U11" s="379">
        <f>9245400+4284535</f>
        <v>13529935</v>
      </c>
      <c r="V11" s="65"/>
      <c r="W11" s="71">
        <f t="shared" ref="W11:Y17" si="19">+$U11*W$1/100</f>
        <v>304423.53749999998</v>
      </c>
      <c r="X11" s="71">
        <f t="shared" si="19"/>
        <v>165836.41329500001</v>
      </c>
      <c r="Y11" s="71">
        <f t="shared" si="19"/>
        <v>136868.82246000002</v>
      </c>
      <c r="Z11" s="71">
        <f t="shared" si="1"/>
        <v>607128.77325500001</v>
      </c>
      <c r="AA11" s="65"/>
      <c r="AB11" s="72">
        <f>104010.75+48201.02</f>
        <v>152211.76999999999</v>
      </c>
      <c r="AC11" s="72">
        <f>56660.44+26257.78</f>
        <v>82918.22</v>
      </c>
      <c r="AD11" s="72">
        <f>Y11</f>
        <v>136868.82246000002</v>
      </c>
      <c r="AE11" s="258">
        <f>SUM(W11:X11)*0.15</f>
        <v>70538.992619249984</v>
      </c>
      <c r="AF11" s="73">
        <f t="shared" si="2"/>
        <v>442537.80507925001</v>
      </c>
      <c r="AG11" s="256"/>
      <c r="AH11" s="74">
        <f t="shared" si="3"/>
        <v>152211.76749999999</v>
      </c>
      <c r="AI11" s="75">
        <f t="shared" si="3"/>
        <v>82918.193295000005</v>
      </c>
      <c r="AJ11" s="75">
        <f t="shared" si="3"/>
        <v>0</v>
      </c>
      <c r="AK11" s="75">
        <f t="shared" si="4"/>
        <v>-70538.992619249984</v>
      </c>
      <c r="AL11" s="75">
        <f t="shared" si="5"/>
        <v>164590.96817574999</v>
      </c>
    </row>
    <row r="12" spans="1:39" s="58" customFormat="1" ht="30" customHeight="1" x14ac:dyDescent="0.2">
      <c r="A12" s="59" t="s">
        <v>15</v>
      </c>
      <c r="B12" s="60" t="s">
        <v>16</v>
      </c>
      <c r="C12" s="61">
        <v>35.052191000000001</v>
      </c>
      <c r="D12" s="61">
        <v>85.307854000000006</v>
      </c>
      <c r="E12" s="62" t="s">
        <v>67</v>
      </c>
      <c r="F12" s="61">
        <v>25843</v>
      </c>
      <c r="G12" s="63">
        <v>39882</v>
      </c>
      <c r="H12" s="64" t="s">
        <v>77</v>
      </c>
      <c r="I12" s="65"/>
      <c r="J12" s="61" t="s">
        <v>53</v>
      </c>
      <c r="K12" s="63">
        <v>39890</v>
      </c>
      <c r="L12" s="154" t="s">
        <v>77</v>
      </c>
      <c r="M12" s="65"/>
      <c r="N12" s="66">
        <v>2011</v>
      </c>
      <c r="O12" s="66">
        <v>2025</v>
      </c>
      <c r="P12" s="76"/>
      <c r="Q12" s="68"/>
      <c r="R12" s="107"/>
      <c r="S12" s="70">
        <v>21000000</v>
      </c>
      <c r="T12" s="70"/>
      <c r="U12" s="373">
        <v>12362160</v>
      </c>
      <c r="V12" s="65"/>
      <c r="W12" s="71">
        <f t="shared" si="19"/>
        <v>278148.59999999998</v>
      </c>
      <c r="X12" s="71">
        <f t="shared" si="19"/>
        <v>151522.99512000001</v>
      </c>
      <c r="Y12" s="71">
        <f t="shared" si="19"/>
        <v>125055.61056</v>
      </c>
      <c r="Z12" s="71">
        <f t="shared" si="1"/>
        <v>554727.2056799999</v>
      </c>
      <c r="AA12" s="65"/>
      <c r="AB12" s="72">
        <f>+W12*0.3</f>
        <v>83444.579999999987</v>
      </c>
      <c r="AC12" s="73">
        <f>+X12*0.3</f>
        <v>45456.898536000001</v>
      </c>
      <c r="AD12" s="73">
        <f>+Y12*0.3</f>
        <v>37516.683167999996</v>
      </c>
      <c r="AE12" s="73"/>
      <c r="AF12" s="73">
        <f t="shared" si="2"/>
        <v>166418.16170399997</v>
      </c>
      <c r="AG12" s="256"/>
      <c r="AH12" s="74">
        <f t="shared" si="3"/>
        <v>194704.02</v>
      </c>
      <c r="AI12" s="75">
        <f t="shared" si="3"/>
        <v>106066.09658400001</v>
      </c>
      <c r="AJ12" s="75">
        <f t="shared" si="3"/>
        <v>87538.927392000012</v>
      </c>
      <c r="AK12" s="75">
        <f t="shared" si="4"/>
        <v>0</v>
      </c>
      <c r="AL12" s="75">
        <f t="shared" si="5"/>
        <v>388309.04397599993</v>
      </c>
    </row>
    <row r="13" spans="1:39" s="58" customFormat="1" ht="30" customHeight="1" x14ac:dyDescent="0.2">
      <c r="A13" s="319" t="s">
        <v>200</v>
      </c>
      <c r="B13" s="141"/>
      <c r="C13" s="380"/>
      <c r="D13" s="380"/>
      <c r="E13" s="146"/>
      <c r="F13" s="354">
        <v>30824</v>
      </c>
      <c r="G13" s="355">
        <v>44383</v>
      </c>
      <c r="H13" s="362" t="s">
        <v>77</v>
      </c>
      <c r="I13" s="360"/>
      <c r="J13" s="354" t="s">
        <v>199</v>
      </c>
      <c r="K13" s="355">
        <v>44384</v>
      </c>
      <c r="L13" s="152" t="s">
        <v>77</v>
      </c>
      <c r="M13" s="360"/>
      <c r="N13" s="357">
        <v>2022</v>
      </c>
      <c r="O13" s="357">
        <v>2031</v>
      </c>
      <c r="P13" s="76">
        <v>300</v>
      </c>
      <c r="Q13" s="358">
        <v>42000</v>
      </c>
      <c r="R13" s="107"/>
      <c r="S13" s="359">
        <v>150000000</v>
      </c>
      <c r="T13" s="359"/>
      <c r="U13" s="386">
        <f>4235720+8400+760054</f>
        <v>5004174</v>
      </c>
      <c r="V13" s="360"/>
      <c r="W13" s="385">
        <f t="shared" si="19"/>
        <v>112593.91499999999</v>
      </c>
      <c r="X13" s="385">
        <f t="shared" si="19"/>
        <v>61336.160717999999</v>
      </c>
      <c r="Y13" s="385">
        <f t="shared" si="19"/>
        <v>50622.224183999999</v>
      </c>
      <c r="Z13" s="385">
        <f t="shared" ref="Z13" si="20">+W13+X13+Y13</f>
        <v>224552.299902</v>
      </c>
      <c r="AA13" s="360"/>
      <c r="AB13" s="361">
        <v>0</v>
      </c>
      <c r="AC13" s="352">
        <v>0</v>
      </c>
      <c r="AD13" s="352">
        <f>Y13</f>
        <v>50622.224183999999</v>
      </c>
      <c r="AE13" s="352">
        <f>X13*0.15</f>
        <v>9200.4241076999988</v>
      </c>
      <c r="AF13" s="383">
        <f t="shared" si="2"/>
        <v>59822.648291699996</v>
      </c>
      <c r="AG13" s="360"/>
      <c r="AH13" s="384">
        <f t="shared" ref="AH13" si="21">+W13-AB13</f>
        <v>112593.91499999999</v>
      </c>
      <c r="AI13" s="382">
        <f t="shared" ref="AI13" si="22">+X13-AC13</f>
        <v>61336.160717999999</v>
      </c>
      <c r="AJ13" s="382">
        <f t="shared" ref="AJ13" si="23">+Y13-AD13</f>
        <v>0</v>
      </c>
      <c r="AK13" s="382">
        <f t="shared" ref="AK13" si="24">-AE13</f>
        <v>-9200.4241076999988</v>
      </c>
      <c r="AL13" s="382">
        <f t="shared" ref="AL13" si="25">+Z13-AF13</f>
        <v>164729.6516103</v>
      </c>
    </row>
    <row r="14" spans="1:39" s="58" customFormat="1" ht="25.5" customHeight="1" x14ac:dyDescent="0.2">
      <c r="A14" s="59" t="s">
        <v>23</v>
      </c>
      <c r="B14" s="60" t="s">
        <v>24</v>
      </c>
      <c r="C14" s="61">
        <v>35.053296000000003</v>
      </c>
      <c r="D14" s="61">
        <v>-85.311479199999994</v>
      </c>
      <c r="E14" s="62" t="s">
        <v>68</v>
      </c>
      <c r="F14" s="61">
        <v>25682</v>
      </c>
      <c r="G14" s="63">
        <v>39721</v>
      </c>
      <c r="H14" s="64" t="s">
        <v>77</v>
      </c>
      <c r="I14" s="65"/>
      <c r="J14" s="61" t="s">
        <v>54</v>
      </c>
      <c r="K14" s="63">
        <v>39722</v>
      </c>
      <c r="L14" s="154" t="s">
        <v>77</v>
      </c>
      <c r="M14" s="65"/>
      <c r="N14" s="66">
        <v>2010</v>
      </c>
      <c r="O14" s="66">
        <v>2024</v>
      </c>
      <c r="P14" s="76"/>
      <c r="Q14" s="68"/>
      <c r="R14" s="69"/>
      <c r="S14" s="70">
        <v>7000000</v>
      </c>
      <c r="T14" s="70"/>
      <c r="U14" s="374">
        <v>4830480</v>
      </c>
      <c r="V14" s="65"/>
      <c r="W14" s="71">
        <f t="shared" si="19"/>
        <v>108685.8</v>
      </c>
      <c r="X14" s="71">
        <f t="shared" si="19"/>
        <v>59207.193360000005</v>
      </c>
      <c r="Y14" s="71">
        <f t="shared" si="19"/>
        <v>48865.135679999999</v>
      </c>
      <c r="Z14" s="71">
        <f t="shared" si="1"/>
        <v>216758.12904000003</v>
      </c>
      <c r="AA14" s="65"/>
      <c r="AB14" s="72">
        <v>0</v>
      </c>
      <c r="AC14" s="73">
        <v>0</v>
      </c>
      <c r="AD14" s="73">
        <f>Y14</f>
        <v>48865.135679999999</v>
      </c>
      <c r="AE14" s="73"/>
      <c r="AF14" s="73">
        <f t="shared" si="2"/>
        <v>48865.135679999999</v>
      </c>
      <c r="AG14" s="256"/>
      <c r="AH14" s="74">
        <f t="shared" si="3"/>
        <v>108685.8</v>
      </c>
      <c r="AI14" s="75">
        <f t="shared" si="3"/>
        <v>59207.193360000005</v>
      </c>
      <c r="AJ14" s="75">
        <f t="shared" si="3"/>
        <v>0</v>
      </c>
      <c r="AK14" s="75">
        <f t="shared" si="4"/>
        <v>0</v>
      </c>
      <c r="AL14" s="75">
        <f t="shared" si="5"/>
        <v>167892.99336000002</v>
      </c>
    </row>
    <row r="15" spans="1:39" s="58" customFormat="1" ht="25.5" customHeight="1" x14ac:dyDescent="0.2">
      <c r="A15" s="59" t="s">
        <v>56</v>
      </c>
      <c r="B15" s="60" t="s">
        <v>17</v>
      </c>
      <c r="C15" s="61">
        <v>35.083309</v>
      </c>
      <c r="D15" s="61">
        <v>-85.261724999999998</v>
      </c>
      <c r="E15" s="62" t="s">
        <v>103</v>
      </c>
      <c r="F15" s="61">
        <v>28072</v>
      </c>
      <c r="G15" s="63">
        <v>41975</v>
      </c>
      <c r="H15" s="64" t="s">
        <v>77</v>
      </c>
      <c r="I15" s="65"/>
      <c r="J15" s="61" t="s">
        <v>55</v>
      </c>
      <c r="K15" s="63">
        <v>41976</v>
      </c>
      <c r="L15" s="154" t="s">
        <v>77</v>
      </c>
      <c r="M15" s="65"/>
      <c r="N15" s="66">
        <v>2015</v>
      </c>
      <c r="O15" s="66">
        <v>2022</v>
      </c>
      <c r="P15" s="76">
        <v>105</v>
      </c>
      <c r="Q15" s="68">
        <v>45000</v>
      </c>
      <c r="R15" s="69"/>
      <c r="S15" s="70">
        <v>18100000</v>
      </c>
      <c r="T15" s="70"/>
      <c r="U15" s="377">
        <f>856320+4137320+672720+167760+1140397</f>
        <v>6974517</v>
      </c>
      <c r="V15" s="65"/>
      <c r="W15" s="71">
        <f t="shared" si="19"/>
        <v>156926.63250000001</v>
      </c>
      <c r="X15" s="71">
        <f t="shared" si="19"/>
        <v>85486.654869000005</v>
      </c>
      <c r="Y15" s="71">
        <f>ROUND(+$U15*Y$1/100,2)</f>
        <v>70554.210000000006</v>
      </c>
      <c r="Z15" s="71">
        <f t="shared" si="1"/>
        <v>312967.49736900005</v>
      </c>
      <c r="AA15" s="65"/>
      <c r="AB15" s="276">
        <f>W15*0.5</f>
        <v>78463.316250000003</v>
      </c>
      <c r="AC15" s="73">
        <f>X15*0.5</f>
        <v>42743.327434500003</v>
      </c>
      <c r="AD15" s="73">
        <f>Y15</f>
        <v>70554.210000000006</v>
      </c>
      <c r="AE15" s="258">
        <f>SUM(X15*0.15)+SUM(W15*0.15)</f>
        <v>36361.993105350004</v>
      </c>
      <c r="AF15" s="73">
        <f t="shared" si="2"/>
        <v>228122.84678985004</v>
      </c>
      <c r="AG15" s="256"/>
      <c r="AH15" s="74">
        <f t="shared" si="3"/>
        <v>78463.316250000003</v>
      </c>
      <c r="AI15" s="75">
        <f t="shared" si="3"/>
        <v>42743.327434500003</v>
      </c>
      <c r="AJ15" s="75">
        <f t="shared" si="3"/>
        <v>0</v>
      </c>
      <c r="AK15" s="75">
        <f t="shared" si="4"/>
        <v>-36361.993105350004</v>
      </c>
      <c r="AL15" s="75">
        <f t="shared" si="5"/>
        <v>84844.650579150009</v>
      </c>
    </row>
    <row r="16" spans="1:39" s="58" customFormat="1" ht="25.5" customHeight="1" x14ac:dyDescent="0.2">
      <c r="A16" s="366" t="s">
        <v>198</v>
      </c>
      <c r="B16" s="367"/>
      <c r="C16" s="338"/>
      <c r="D16" s="338"/>
      <c r="E16" s="365"/>
      <c r="F16" s="354">
        <v>30938</v>
      </c>
      <c r="G16" s="355">
        <v>44516</v>
      </c>
      <c r="H16" s="362" t="s">
        <v>77</v>
      </c>
      <c r="I16" s="360"/>
      <c r="J16" s="354" t="s">
        <v>197</v>
      </c>
      <c r="K16" s="355">
        <v>44517</v>
      </c>
      <c r="L16" s="152" t="s">
        <v>77</v>
      </c>
      <c r="M16" s="360"/>
      <c r="N16" s="357">
        <v>2023</v>
      </c>
      <c r="O16" s="357">
        <v>2031</v>
      </c>
      <c r="P16" s="76">
        <v>360</v>
      </c>
      <c r="Q16" s="358">
        <v>56000</v>
      </c>
      <c r="R16" s="69"/>
      <c r="S16" s="359">
        <v>10080000</v>
      </c>
      <c r="T16" s="359"/>
      <c r="U16" s="381"/>
      <c r="V16" s="360"/>
      <c r="W16" s="356"/>
      <c r="X16" s="356"/>
      <c r="Y16" s="356"/>
      <c r="Z16" s="356"/>
      <c r="AA16" s="360"/>
      <c r="AB16" s="352"/>
      <c r="AC16" s="352"/>
      <c r="AD16" s="352">
        <f>Y16</f>
        <v>0</v>
      </c>
      <c r="AE16" s="352"/>
      <c r="AF16" s="352">
        <f t="shared" si="2"/>
        <v>0</v>
      </c>
      <c r="AG16" s="360"/>
      <c r="AH16" s="353">
        <f t="shared" ref="AH16" si="26">+W16-AB16</f>
        <v>0</v>
      </c>
      <c r="AI16" s="351">
        <f t="shared" ref="AI16" si="27">+X16-AC16</f>
        <v>0</v>
      </c>
      <c r="AJ16" s="351">
        <f t="shared" ref="AJ16" si="28">+Y16-AD16</f>
        <v>0</v>
      </c>
      <c r="AK16" s="351">
        <f t="shared" ref="AK16" si="29">-AE16</f>
        <v>0</v>
      </c>
      <c r="AL16" s="351">
        <f t="shared" si="5"/>
        <v>0</v>
      </c>
    </row>
    <row r="17" spans="1:39" s="58" customFormat="1" ht="54" customHeight="1" x14ac:dyDescent="0.2">
      <c r="A17" s="59" t="s">
        <v>25</v>
      </c>
      <c r="B17" s="60" t="s">
        <v>26</v>
      </c>
      <c r="C17" s="61">
        <v>35.079189999999997</v>
      </c>
      <c r="D17" s="61">
        <v>-85.138220000000004</v>
      </c>
      <c r="E17" s="62" t="s">
        <v>69</v>
      </c>
      <c r="F17" s="61">
        <v>25738</v>
      </c>
      <c r="G17" s="63">
        <v>39777</v>
      </c>
      <c r="H17" s="64" t="s">
        <v>77</v>
      </c>
      <c r="I17" s="65"/>
      <c r="J17" s="61" t="s">
        <v>60</v>
      </c>
      <c r="K17" s="63">
        <v>39765</v>
      </c>
      <c r="L17" s="154" t="s">
        <v>77</v>
      </c>
      <c r="M17" s="65"/>
      <c r="N17" s="66">
        <v>2010</v>
      </c>
      <c r="O17" s="66">
        <v>2038</v>
      </c>
      <c r="P17" s="108">
        <v>2000</v>
      </c>
      <c r="Q17" s="68"/>
      <c r="R17" s="69" t="s">
        <v>170</v>
      </c>
      <c r="S17" s="70">
        <v>1000000000</v>
      </c>
      <c r="T17" s="70"/>
      <c r="U17" s="381">
        <f>297463088+63520+158100513+385316</f>
        <v>456012437</v>
      </c>
      <c r="V17" s="65"/>
      <c r="W17" s="71">
        <f>+$U17*W$1/100+790440.37</f>
        <v>11050720.202499999</v>
      </c>
      <c r="X17" s="71">
        <f t="shared" si="19"/>
        <v>5589344.4403090002</v>
      </c>
      <c r="Y17" s="71">
        <f t="shared" si="19"/>
        <v>4613021.8126920005</v>
      </c>
      <c r="Z17" s="71">
        <f t="shared" si="1"/>
        <v>21253086.455501001</v>
      </c>
      <c r="AA17" s="65"/>
      <c r="AB17" s="72">
        <v>931465.5</v>
      </c>
      <c r="AC17" s="73">
        <v>0</v>
      </c>
      <c r="AD17" s="73">
        <v>3681556.32</v>
      </c>
      <c r="AE17" s="73"/>
      <c r="AF17" s="73">
        <f t="shared" si="2"/>
        <v>4613021.82</v>
      </c>
      <c r="AG17" s="256"/>
      <c r="AH17" s="74">
        <f t="shared" si="3"/>
        <v>10119254.702499999</v>
      </c>
      <c r="AI17" s="75">
        <f t="shared" si="3"/>
        <v>5589344.4403090002</v>
      </c>
      <c r="AJ17" s="75">
        <f t="shared" si="3"/>
        <v>931465.4926920007</v>
      </c>
      <c r="AK17" s="75">
        <f t="shared" si="4"/>
        <v>0</v>
      </c>
      <c r="AL17" s="75">
        <f t="shared" si="5"/>
        <v>16640064.635501001</v>
      </c>
    </row>
    <row r="18" spans="1:39" s="58" customFormat="1" ht="25.5" customHeight="1" x14ac:dyDescent="0.2">
      <c r="A18" s="228" t="s">
        <v>38</v>
      </c>
      <c r="B18" s="141" t="s">
        <v>74</v>
      </c>
      <c r="C18" s="229">
        <v>35.079189999999997</v>
      </c>
      <c r="D18" s="229">
        <v>-85.138220000000004</v>
      </c>
      <c r="E18" s="146"/>
      <c r="F18" s="61">
        <v>27960</v>
      </c>
      <c r="G18" s="63">
        <v>41849</v>
      </c>
      <c r="H18" s="64" t="s">
        <v>77</v>
      </c>
      <c r="I18" s="65"/>
      <c r="J18" s="61" t="s">
        <v>63</v>
      </c>
      <c r="K18" s="63">
        <v>41843</v>
      </c>
      <c r="L18" s="154" t="s">
        <v>77</v>
      </c>
      <c r="M18" s="65"/>
      <c r="N18" s="66">
        <v>2015</v>
      </c>
      <c r="O18" s="66">
        <v>2038</v>
      </c>
      <c r="P18" s="108">
        <v>2000</v>
      </c>
      <c r="Q18" s="68"/>
      <c r="R18" s="69"/>
      <c r="S18" s="70">
        <v>600000000</v>
      </c>
      <c r="T18" s="70"/>
      <c r="U18" s="375"/>
      <c r="V18" s="65"/>
      <c r="W18" s="71">
        <v>0</v>
      </c>
      <c r="X18" s="71">
        <v>0</v>
      </c>
      <c r="Y18" s="71">
        <v>0</v>
      </c>
      <c r="Z18" s="71">
        <f t="shared" si="1"/>
        <v>0</v>
      </c>
      <c r="AA18" s="65"/>
      <c r="AB18" s="72">
        <v>0</v>
      </c>
      <c r="AC18" s="73">
        <v>0</v>
      </c>
      <c r="AD18" s="73">
        <v>0</v>
      </c>
      <c r="AE18" s="73">
        <v>250000</v>
      </c>
      <c r="AF18" s="73">
        <f t="shared" si="2"/>
        <v>250000</v>
      </c>
      <c r="AG18" s="256"/>
      <c r="AH18" s="74">
        <f t="shared" si="3"/>
        <v>0</v>
      </c>
      <c r="AI18" s="75">
        <f t="shared" si="3"/>
        <v>0</v>
      </c>
      <c r="AJ18" s="75">
        <f t="shared" si="3"/>
        <v>0</v>
      </c>
      <c r="AK18" s="75">
        <f t="shared" si="4"/>
        <v>-250000</v>
      </c>
      <c r="AL18" s="75">
        <f t="shared" si="5"/>
        <v>-250000</v>
      </c>
    </row>
    <row r="19" spans="1:39" s="58" customFormat="1" ht="25.5" x14ac:dyDescent="0.2">
      <c r="A19" s="223" t="s">
        <v>104</v>
      </c>
      <c r="B19" s="141" t="s">
        <v>137</v>
      </c>
      <c r="C19" s="222"/>
      <c r="D19" s="222"/>
      <c r="E19" s="146" t="s">
        <v>136</v>
      </c>
      <c r="F19" s="61">
        <v>28501</v>
      </c>
      <c r="G19" s="63">
        <v>42388</v>
      </c>
      <c r="H19" s="103" t="s">
        <v>77</v>
      </c>
      <c r="I19" s="65"/>
      <c r="J19" s="61" t="s">
        <v>105</v>
      </c>
      <c r="K19" s="63">
        <v>42389</v>
      </c>
      <c r="L19" s="152" t="s">
        <v>77</v>
      </c>
      <c r="M19" s="65"/>
      <c r="N19" s="66">
        <v>2017</v>
      </c>
      <c r="O19" s="66">
        <v>2030</v>
      </c>
      <c r="P19" s="98">
        <v>325</v>
      </c>
      <c r="Q19" s="68">
        <v>50000</v>
      </c>
      <c r="R19" s="69" t="s">
        <v>171</v>
      </c>
      <c r="S19" s="70">
        <v>48000000</v>
      </c>
      <c r="T19" s="70"/>
      <c r="U19" s="379">
        <v>4063439</v>
      </c>
      <c r="V19" s="65"/>
      <c r="W19" s="188">
        <f t="shared" ref="W19:Y19" si="30">+$U19*W$1/100</f>
        <v>91427.377500000002</v>
      </c>
      <c r="X19" s="188">
        <f t="shared" si="30"/>
        <v>49805.571823000006</v>
      </c>
      <c r="Y19" s="188">
        <f t="shared" si="30"/>
        <v>41105.748924</v>
      </c>
      <c r="Z19" s="188">
        <f t="shared" ref="Z19" si="31">+W19+X19+Y19</f>
        <v>182338.69824699999</v>
      </c>
      <c r="AA19" s="65"/>
      <c r="AB19" s="279">
        <f>W19*0.716</f>
        <v>65462.002289999997</v>
      </c>
      <c r="AC19" s="73">
        <f>X19*0.716</f>
        <v>35660.789425268005</v>
      </c>
      <c r="AD19" s="73">
        <f>Y19</f>
        <v>41105.748924</v>
      </c>
      <c r="AE19" s="278">
        <f>W19*0.15</f>
        <v>13714.106625</v>
      </c>
      <c r="AF19" s="73">
        <f>SUM(AB19:AE19)</f>
        <v>155942.64726426802</v>
      </c>
      <c r="AG19" s="256"/>
      <c r="AH19" s="190">
        <f t="shared" ref="AH19" si="32">+W19-AB19</f>
        <v>25965.375210000006</v>
      </c>
      <c r="AI19" s="189">
        <f t="shared" ref="AI19:AJ19" si="33">+X19-AC19</f>
        <v>14144.782397732</v>
      </c>
      <c r="AJ19" s="189">
        <f t="shared" si="33"/>
        <v>0</v>
      </c>
      <c r="AK19" s="189">
        <f t="shared" ref="AK19" si="34">-AE19</f>
        <v>-13714.106625</v>
      </c>
      <c r="AL19" s="189">
        <f t="shared" ref="AL19" si="35">+Z19-AF19</f>
        <v>26396.050982731977</v>
      </c>
    </row>
    <row r="20" spans="1:39" s="118" customFormat="1" ht="38.25" customHeight="1" x14ac:dyDescent="0.25">
      <c r="A20" s="262" t="s">
        <v>49</v>
      </c>
      <c r="B20" s="110"/>
      <c r="C20" s="110"/>
      <c r="D20" s="110"/>
      <c r="E20" s="110"/>
      <c r="F20" s="110"/>
      <c r="G20" s="111"/>
      <c r="H20" s="111"/>
      <c r="I20" s="112"/>
      <c r="J20" s="110"/>
      <c r="K20" s="111"/>
      <c r="L20" s="111"/>
      <c r="M20" s="112"/>
      <c r="N20" s="110"/>
      <c r="O20" s="110"/>
      <c r="P20" s="110"/>
      <c r="Q20" s="113"/>
      <c r="R20" s="114"/>
      <c r="S20" s="112"/>
      <c r="T20" s="112"/>
      <c r="U20" s="241"/>
      <c r="V20" s="112"/>
      <c r="W20" s="115"/>
      <c r="X20" s="115"/>
      <c r="Y20" s="115"/>
      <c r="Z20" s="112"/>
      <c r="AA20" s="112"/>
      <c r="AB20" s="115"/>
      <c r="AC20" s="115"/>
      <c r="AD20" s="302"/>
      <c r="AE20" s="116"/>
      <c r="AF20" s="112"/>
      <c r="AG20" s="112"/>
      <c r="AH20" s="112"/>
      <c r="AI20" s="112"/>
      <c r="AJ20" s="112"/>
      <c r="AK20" s="112"/>
      <c r="AL20" s="112"/>
      <c r="AM20" s="117"/>
    </row>
    <row r="21" spans="1:39" s="58" customFormat="1" ht="25.5" customHeight="1" x14ac:dyDescent="0.2">
      <c r="A21" s="441" t="s">
        <v>84</v>
      </c>
      <c r="B21" s="455" t="s">
        <v>12</v>
      </c>
      <c r="C21" s="61">
        <v>35.074481900000002</v>
      </c>
      <c r="D21" s="61">
        <v>-85.156702999999993</v>
      </c>
      <c r="E21" s="456" t="s">
        <v>155</v>
      </c>
      <c r="F21" s="457">
        <v>26356</v>
      </c>
      <c r="G21" s="459">
        <v>40365</v>
      </c>
      <c r="H21" s="461" t="s">
        <v>77</v>
      </c>
      <c r="I21" s="123"/>
      <c r="J21" s="124" t="s">
        <v>95</v>
      </c>
      <c r="K21" s="125">
        <v>40129</v>
      </c>
      <c r="L21" s="236" t="s">
        <v>77</v>
      </c>
      <c r="M21" s="123"/>
      <c r="N21" s="442">
        <v>2011</v>
      </c>
      <c r="O21" s="442">
        <v>2024</v>
      </c>
      <c r="P21" s="444">
        <v>230</v>
      </c>
      <c r="Q21" s="446">
        <v>38247</v>
      </c>
      <c r="R21" s="127"/>
      <c r="S21" s="448">
        <v>90300000</v>
      </c>
      <c r="T21" s="70"/>
      <c r="U21" s="450">
        <f>32218400+3198640</f>
        <v>35417040</v>
      </c>
      <c r="V21" s="123"/>
      <c r="W21" s="425">
        <f t="shared" ref="W21:Y30" si="36">+$U21*W$1/100</f>
        <v>796883.4</v>
      </c>
      <c r="X21" s="425">
        <f t="shared" si="36"/>
        <v>434106.65928000002</v>
      </c>
      <c r="Y21" s="425">
        <f t="shared" si="36"/>
        <v>358278.77664000005</v>
      </c>
      <c r="Z21" s="425">
        <f t="shared" ref="Z21:Z30" si="37">+W21+X21+Y21</f>
        <v>1589268.8359200002</v>
      </c>
      <c r="AA21" s="123"/>
      <c r="AB21" s="453">
        <f>393605.51+39077.12</f>
        <v>432682.63</v>
      </c>
      <c r="AC21" s="463">
        <f>214418.79+21287.48</f>
        <v>235706.27000000002</v>
      </c>
      <c r="AD21" s="410">
        <f>Y21</f>
        <v>358278.77664000005</v>
      </c>
      <c r="AE21" s="410"/>
      <c r="AF21" s="410">
        <f t="shared" ref="AF21:AF26" si="38">+AB21+AC21+AD21+AE21</f>
        <v>1026667.6766400001</v>
      </c>
      <c r="AG21" s="260"/>
      <c r="AH21" s="412">
        <f t="shared" ref="AH21:AJ21" si="39">+W21-AB21</f>
        <v>364200.77</v>
      </c>
      <c r="AI21" s="403">
        <f t="shared" si="39"/>
        <v>198400.38928</v>
      </c>
      <c r="AJ21" s="403">
        <f t="shared" si="39"/>
        <v>0</v>
      </c>
      <c r="AK21" s="403">
        <f t="shared" ref="AK21" si="40">-AE21</f>
        <v>0</v>
      </c>
      <c r="AL21" s="403">
        <f t="shared" ref="AL21" si="41">+Z21-AF21</f>
        <v>562601.15928000014</v>
      </c>
      <c r="AM21" s="106"/>
    </row>
    <row r="22" spans="1:39" s="58" customFormat="1" ht="25.5" customHeight="1" x14ac:dyDescent="0.2">
      <c r="A22" s="441"/>
      <c r="B22" s="455"/>
      <c r="C22" s="61"/>
      <c r="D22" s="61"/>
      <c r="E22" s="456"/>
      <c r="F22" s="458"/>
      <c r="G22" s="460"/>
      <c r="H22" s="462"/>
      <c r="I22" s="85"/>
      <c r="J22" s="82" t="s">
        <v>94</v>
      </c>
      <c r="K22" s="226">
        <v>40366</v>
      </c>
      <c r="L22" s="238" t="s">
        <v>77</v>
      </c>
      <c r="M22" s="85"/>
      <c r="N22" s="443"/>
      <c r="O22" s="443"/>
      <c r="P22" s="445"/>
      <c r="Q22" s="447"/>
      <c r="R22" s="159"/>
      <c r="S22" s="449"/>
      <c r="T22" s="281"/>
      <c r="U22" s="451"/>
      <c r="V22" s="85"/>
      <c r="W22" s="452"/>
      <c r="X22" s="452"/>
      <c r="Y22" s="452"/>
      <c r="Z22" s="452"/>
      <c r="AA22" s="85"/>
      <c r="AB22" s="454"/>
      <c r="AC22" s="464"/>
      <c r="AD22" s="465"/>
      <c r="AE22" s="465"/>
      <c r="AF22" s="465"/>
      <c r="AG22" s="85"/>
      <c r="AH22" s="466"/>
      <c r="AI22" s="404"/>
      <c r="AJ22" s="404"/>
      <c r="AK22" s="404"/>
      <c r="AL22" s="404"/>
      <c r="AM22" s="106"/>
    </row>
    <row r="23" spans="1:39" s="58" customFormat="1" ht="25.5" customHeight="1" x14ac:dyDescent="0.2">
      <c r="A23" s="418" t="s">
        <v>162</v>
      </c>
      <c r="B23" s="418" t="s">
        <v>97</v>
      </c>
      <c r="C23" s="280"/>
      <c r="D23" s="280"/>
      <c r="E23" s="421" t="s">
        <v>165</v>
      </c>
      <c r="F23" s="81">
        <v>28301</v>
      </c>
      <c r="G23" s="83">
        <v>42185</v>
      </c>
      <c r="H23" s="284" t="s">
        <v>77</v>
      </c>
      <c r="I23" s="85"/>
      <c r="J23" s="82" t="s">
        <v>92</v>
      </c>
      <c r="K23" s="226">
        <v>42186</v>
      </c>
      <c r="L23" s="238" t="s">
        <v>77</v>
      </c>
      <c r="M23" s="85"/>
      <c r="N23" s="468">
        <v>2017</v>
      </c>
      <c r="O23" s="468">
        <v>2029</v>
      </c>
      <c r="P23" s="470">
        <f>374+150</f>
        <v>524</v>
      </c>
      <c r="Q23" s="428"/>
      <c r="R23" s="472" t="s">
        <v>178</v>
      </c>
      <c r="S23" s="430">
        <f>140900000+48000000</f>
        <v>188900000</v>
      </c>
      <c r="T23" s="282"/>
      <c r="U23" s="432">
        <f>5443800+5450200+7239722+11999075</f>
        <v>30132797</v>
      </c>
      <c r="V23" s="85"/>
      <c r="W23" s="474">
        <f t="shared" si="36"/>
        <v>677987.9325</v>
      </c>
      <c r="X23" s="474">
        <f t="shared" si="36"/>
        <v>369337.69282900001</v>
      </c>
      <c r="Y23" s="474">
        <f t="shared" si="36"/>
        <v>304823.37445200002</v>
      </c>
      <c r="Z23" s="474">
        <f t="shared" ref="Z23" si="42">+W23+X23+Y23</f>
        <v>1352148.999781</v>
      </c>
      <c r="AA23" s="227"/>
      <c r="AB23" s="405">
        <f>W23*0.4</f>
        <v>271195.17300000001</v>
      </c>
      <c r="AC23" s="414">
        <f>X23*0.5</f>
        <v>184668.8464145</v>
      </c>
      <c r="AD23" s="407">
        <f>Y23</f>
        <v>304823.37445200002</v>
      </c>
      <c r="AE23" s="407">
        <f>SUM(X23:Y24)*0.1253+SUM(W23*0.15)</f>
        <v>186170.57160530932</v>
      </c>
      <c r="AF23" s="416">
        <f t="shared" si="38"/>
        <v>946857.96547180926</v>
      </c>
      <c r="AG23" s="227"/>
      <c r="AH23" s="417">
        <f t="shared" ref="AH23" si="43">+W23-AB23</f>
        <v>406792.75949999999</v>
      </c>
      <c r="AI23" s="401">
        <f t="shared" ref="AI23" si="44">+X23-AC23</f>
        <v>184668.8464145</v>
      </c>
      <c r="AJ23" s="401">
        <f t="shared" ref="AJ23" si="45">+Y23-AD23</f>
        <v>0</v>
      </c>
      <c r="AK23" s="401">
        <f t="shared" ref="AK23" si="46">-AE23</f>
        <v>-186170.57160530932</v>
      </c>
      <c r="AL23" s="401">
        <f t="shared" ref="AL23" si="47">+Z23-AF23</f>
        <v>405291.0343091907</v>
      </c>
      <c r="AM23" s="106"/>
    </row>
    <row r="24" spans="1:39" s="58" customFormat="1" ht="25.5" customHeight="1" x14ac:dyDescent="0.2">
      <c r="A24" s="419"/>
      <c r="B24" s="419"/>
      <c r="C24" s="280"/>
      <c r="D24" s="280"/>
      <c r="E24" s="422"/>
      <c r="F24" s="81">
        <v>28424</v>
      </c>
      <c r="G24" s="83">
        <v>42290</v>
      </c>
      <c r="H24" s="284" t="s">
        <v>77</v>
      </c>
      <c r="I24" s="85"/>
      <c r="J24" s="82" t="s">
        <v>96</v>
      </c>
      <c r="K24" s="226">
        <v>42283</v>
      </c>
      <c r="L24" s="238" t="s">
        <v>77</v>
      </c>
      <c r="M24" s="85"/>
      <c r="N24" s="468"/>
      <c r="O24" s="468"/>
      <c r="P24" s="470"/>
      <c r="Q24" s="428"/>
      <c r="R24" s="472"/>
      <c r="S24" s="430"/>
      <c r="T24" s="281"/>
      <c r="U24" s="432"/>
      <c r="V24" s="85"/>
      <c r="W24" s="474"/>
      <c r="X24" s="474"/>
      <c r="Y24" s="474"/>
      <c r="Z24" s="474"/>
      <c r="AA24" s="227"/>
      <c r="AB24" s="405"/>
      <c r="AC24" s="414"/>
      <c r="AD24" s="407"/>
      <c r="AE24" s="407"/>
      <c r="AF24" s="416"/>
      <c r="AG24" s="227"/>
      <c r="AH24" s="417"/>
      <c r="AI24" s="401"/>
      <c r="AJ24" s="401"/>
      <c r="AK24" s="401"/>
      <c r="AL24" s="401"/>
      <c r="AM24" s="106"/>
    </row>
    <row r="25" spans="1:39" s="58" customFormat="1" ht="25.5" customHeight="1" x14ac:dyDescent="0.2">
      <c r="A25" s="420"/>
      <c r="B25" s="420"/>
      <c r="C25" s="280"/>
      <c r="D25" s="280"/>
      <c r="E25" s="423"/>
      <c r="F25" s="42">
        <v>29847</v>
      </c>
      <c r="G25" s="44">
        <v>43543</v>
      </c>
      <c r="H25" s="135" t="s">
        <v>77</v>
      </c>
      <c r="I25" s="283"/>
      <c r="J25" s="43" t="s">
        <v>177</v>
      </c>
      <c r="K25" s="134">
        <v>43544</v>
      </c>
      <c r="L25" s="237" t="s">
        <v>77</v>
      </c>
      <c r="M25" s="283"/>
      <c r="N25" s="469"/>
      <c r="O25" s="469"/>
      <c r="P25" s="471"/>
      <c r="Q25" s="429"/>
      <c r="R25" s="473"/>
      <c r="S25" s="431"/>
      <c r="T25" s="282"/>
      <c r="U25" s="433"/>
      <c r="V25" s="283"/>
      <c r="W25" s="424"/>
      <c r="X25" s="424"/>
      <c r="Y25" s="424"/>
      <c r="Z25" s="424"/>
      <c r="AA25" s="136"/>
      <c r="AB25" s="406"/>
      <c r="AC25" s="415"/>
      <c r="AD25" s="408"/>
      <c r="AE25" s="408"/>
      <c r="AF25" s="409"/>
      <c r="AG25" s="136"/>
      <c r="AH25" s="411"/>
      <c r="AI25" s="402"/>
      <c r="AJ25" s="402"/>
      <c r="AK25" s="402"/>
      <c r="AL25" s="402"/>
      <c r="AM25" s="106"/>
    </row>
    <row r="26" spans="1:39" s="58" customFormat="1" ht="25.5" customHeight="1" x14ac:dyDescent="0.2">
      <c r="A26" s="419" t="s">
        <v>158</v>
      </c>
      <c r="B26" s="419" t="s">
        <v>159</v>
      </c>
      <c r="C26" s="290"/>
      <c r="D26" s="290"/>
      <c r="E26" s="422" t="s">
        <v>189</v>
      </c>
      <c r="F26" s="81">
        <v>29248</v>
      </c>
      <c r="G26" s="83">
        <v>43060</v>
      </c>
      <c r="H26" s="284" t="s">
        <v>77</v>
      </c>
      <c r="I26" s="85"/>
      <c r="J26" s="82" t="s">
        <v>160</v>
      </c>
      <c r="K26" s="226">
        <v>43054</v>
      </c>
      <c r="L26" s="277" t="s">
        <v>77</v>
      </c>
      <c r="M26" s="85"/>
      <c r="N26" s="468">
        <v>2019</v>
      </c>
      <c r="O26" s="468">
        <v>2025</v>
      </c>
      <c r="P26" s="426">
        <v>110</v>
      </c>
      <c r="Q26" s="428"/>
      <c r="R26" s="159"/>
      <c r="S26" s="430">
        <v>42700000</v>
      </c>
      <c r="T26" s="282"/>
      <c r="U26" s="432">
        <f>96440+21840+4045807+4710314</f>
        <v>8874401</v>
      </c>
      <c r="V26" s="85"/>
      <c r="W26" s="424">
        <f t="shared" si="36"/>
        <v>199674.02249999999</v>
      </c>
      <c r="X26" s="424">
        <f t="shared" si="36"/>
        <v>108773.53305700001</v>
      </c>
      <c r="Y26" s="424">
        <f t="shared" si="36"/>
        <v>89773.440516000002</v>
      </c>
      <c r="Z26" s="424">
        <f t="shared" ref="Z26" si="48">+W26+X26+Y26</f>
        <v>398220.99607300002</v>
      </c>
      <c r="AA26" s="227"/>
      <c r="AB26" s="406">
        <f>W26*0.5</f>
        <v>99837.011249999996</v>
      </c>
      <c r="AC26" s="414">
        <f>X26*0.5</f>
        <v>54386.766528500004</v>
      </c>
      <c r="AD26" s="407">
        <f>Y26</f>
        <v>89773.440516000002</v>
      </c>
      <c r="AE26" s="407">
        <f>SUM(X26)*0.15+SUM(W26*0.15)</f>
        <v>46267.133333549995</v>
      </c>
      <c r="AF26" s="409">
        <f t="shared" si="38"/>
        <v>290264.35162804998</v>
      </c>
      <c r="AG26" s="227"/>
      <c r="AH26" s="411">
        <f t="shared" ref="AH26" si="49">+W26-AB26</f>
        <v>99837.011249999996</v>
      </c>
      <c r="AI26" s="402">
        <f t="shared" ref="AI26" si="50">+X26-AC26</f>
        <v>54386.766528500004</v>
      </c>
      <c r="AJ26" s="402">
        <f t="shared" ref="AJ26" si="51">+Y26-AD26</f>
        <v>0</v>
      </c>
      <c r="AK26" s="402">
        <f t="shared" ref="AK26" si="52">-AE26</f>
        <v>-46267.133333549995</v>
      </c>
      <c r="AL26" s="402">
        <f t="shared" ref="AL26" si="53">+Z26-AF26</f>
        <v>107956.64444495004</v>
      </c>
      <c r="AM26" s="106"/>
    </row>
    <row r="27" spans="1:39" s="58" customFormat="1" ht="25.5" customHeight="1" x14ac:dyDescent="0.2">
      <c r="A27" s="420"/>
      <c r="B27" s="420"/>
      <c r="C27" s="289"/>
      <c r="D27" s="289"/>
      <c r="E27" s="423"/>
      <c r="F27" s="42"/>
      <c r="G27" s="44"/>
      <c r="H27" s="135"/>
      <c r="I27" s="135"/>
      <c r="J27" s="135"/>
      <c r="K27" s="135"/>
      <c r="L27" s="135"/>
      <c r="M27" s="135"/>
      <c r="N27" s="469"/>
      <c r="O27" s="469"/>
      <c r="P27" s="427"/>
      <c r="Q27" s="429"/>
      <c r="R27" s="135"/>
      <c r="S27" s="431"/>
      <c r="T27" s="225"/>
      <c r="U27" s="433"/>
      <c r="V27" s="85"/>
      <c r="W27" s="425"/>
      <c r="X27" s="425"/>
      <c r="Y27" s="425"/>
      <c r="Z27" s="425"/>
      <c r="AA27" s="227"/>
      <c r="AB27" s="413"/>
      <c r="AC27" s="415"/>
      <c r="AD27" s="408"/>
      <c r="AE27" s="408">
        <f t="shared" ref="AE27" si="54">SUM(X27*0.15)+SUM(W27*0.15)</f>
        <v>0</v>
      </c>
      <c r="AF27" s="410"/>
      <c r="AG27" s="227"/>
      <c r="AH27" s="412"/>
      <c r="AI27" s="403"/>
      <c r="AJ27" s="403"/>
      <c r="AK27" s="403"/>
      <c r="AL27" s="403"/>
      <c r="AM27" s="106"/>
    </row>
    <row r="28" spans="1:39" s="58" customFormat="1" ht="25.5" customHeight="1" x14ac:dyDescent="0.2">
      <c r="A28" s="337" t="s">
        <v>190</v>
      </c>
      <c r="B28" s="337"/>
      <c r="C28" s="338"/>
      <c r="D28" s="338"/>
      <c r="E28" s="339"/>
      <c r="F28" s="42"/>
      <c r="G28" s="44"/>
      <c r="H28" s="135"/>
      <c r="I28" s="328"/>
      <c r="J28" s="82" t="s">
        <v>191</v>
      </c>
      <c r="K28" s="226">
        <v>44062</v>
      </c>
      <c r="L28" s="238" t="s">
        <v>77</v>
      </c>
      <c r="M28" s="328"/>
      <c r="N28" s="331"/>
      <c r="O28" s="331"/>
      <c r="P28" s="336">
        <v>125</v>
      </c>
      <c r="Q28" s="332">
        <v>48000</v>
      </c>
      <c r="R28" s="333"/>
      <c r="S28" s="334">
        <v>75000000</v>
      </c>
      <c r="T28" s="323"/>
      <c r="U28" s="376"/>
      <c r="V28" s="328"/>
      <c r="W28" s="324"/>
      <c r="X28" s="324"/>
      <c r="Y28" s="324"/>
      <c r="Z28" s="324"/>
      <c r="AA28" s="227"/>
      <c r="AB28" s="335"/>
      <c r="AC28" s="329"/>
      <c r="AD28" s="330"/>
      <c r="AE28" s="330"/>
      <c r="AF28" s="325"/>
      <c r="AG28" s="227"/>
      <c r="AH28" s="327"/>
      <c r="AI28" s="326"/>
      <c r="AJ28" s="326"/>
      <c r="AK28" s="326"/>
      <c r="AL28" s="326"/>
      <c r="AM28" s="106"/>
    </row>
    <row r="29" spans="1:39" s="58" customFormat="1" ht="25.5" customHeight="1" x14ac:dyDescent="0.2">
      <c r="A29" s="59" t="s">
        <v>18</v>
      </c>
      <c r="B29" s="60" t="s">
        <v>19</v>
      </c>
      <c r="C29" s="61">
        <v>35.057448999999998</v>
      </c>
      <c r="D29" s="61">
        <v>-85.196417699999998</v>
      </c>
      <c r="E29" s="62" t="s">
        <v>181</v>
      </c>
      <c r="F29" s="61">
        <v>24923</v>
      </c>
      <c r="G29" s="63">
        <v>39014</v>
      </c>
      <c r="H29" s="64" t="s">
        <v>77</v>
      </c>
      <c r="I29" s="65"/>
      <c r="J29" s="61" t="s">
        <v>62</v>
      </c>
      <c r="K29" s="63">
        <v>39008</v>
      </c>
      <c r="L29" s="154" t="s">
        <v>77</v>
      </c>
      <c r="M29" s="65"/>
      <c r="N29" s="66">
        <v>2007</v>
      </c>
      <c r="O29" s="66">
        <v>2018</v>
      </c>
      <c r="P29" s="98">
        <v>150</v>
      </c>
      <c r="Q29" s="68">
        <v>49000</v>
      </c>
      <c r="R29" s="69"/>
      <c r="S29" s="70">
        <f>18000000+5000000</f>
        <v>23000000</v>
      </c>
      <c r="T29" s="70"/>
      <c r="U29" s="379">
        <v>1163150</v>
      </c>
      <c r="V29" s="65"/>
      <c r="W29" s="71">
        <f t="shared" si="36"/>
        <v>26170.875</v>
      </c>
      <c r="X29" s="71">
        <f t="shared" si="36"/>
        <v>14256.72955</v>
      </c>
      <c r="Y29" s="71">
        <f t="shared" si="36"/>
        <v>11766.4254</v>
      </c>
      <c r="Z29" s="71">
        <f t="shared" si="37"/>
        <v>52194.029950000004</v>
      </c>
      <c r="AA29" s="65"/>
      <c r="AB29" s="78">
        <f>W29</f>
        <v>26170.875</v>
      </c>
      <c r="AC29" s="77">
        <f>X29</f>
        <v>14256.72955</v>
      </c>
      <c r="AD29" s="77">
        <f>Y29</f>
        <v>11766.4254</v>
      </c>
      <c r="AE29" s="73"/>
      <c r="AF29" s="73">
        <f>+AB29+AC29+AD29+AE29</f>
        <v>52194.029950000004</v>
      </c>
      <c r="AG29" s="256"/>
      <c r="AH29" s="74">
        <f t="shared" ref="AH29:AJ30" si="55">+W29-AB29</f>
        <v>0</v>
      </c>
      <c r="AI29" s="75">
        <f t="shared" si="55"/>
        <v>0</v>
      </c>
      <c r="AJ29" s="75">
        <f t="shared" si="55"/>
        <v>0</v>
      </c>
      <c r="AK29" s="75">
        <f>-AE29</f>
        <v>0</v>
      </c>
      <c r="AL29" s="75">
        <f>+Z29-AF29</f>
        <v>0</v>
      </c>
      <c r="AM29" s="140"/>
    </row>
    <row r="30" spans="1:39" s="58" customFormat="1" ht="26.25" customHeight="1" x14ac:dyDescent="0.2">
      <c r="A30" s="59" t="s">
        <v>18</v>
      </c>
      <c r="B30" s="60" t="s">
        <v>19</v>
      </c>
      <c r="C30" s="61"/>
      <c r="D30" s="61"/>
      <c r="E30" s="62" t="s">
        <v>70</v>
      </c>
      <c r="F30" s="61">
        <v>26441</v>
      </c>
      <c r="G30" s="63">
        <v>40442</v>
      </c>
      <c r="H30" s="64" t="s">
        <v>77</v>
      </c>
      <c r="I30" s="65"/>
      <c r="J30" s="61" t="s">
        <v>61</v>
      </c>
      <c r="K30" s="63">
        <v>40457</v>
      </c>
      <c r="L30" s="154" t="s">
        <v>77</v>
      </c>
      <c r="M30" s="65"/>
      <c r="N30" s="66">
        <v>2011</v>
      </c>
      <c r="O30" s="66">
        <v>2023</v>
      </c>
      <c r="P30" s="98">
        <v>54</v>
      </c>
      <c r="Q30" s="68">
        <v>69500</v>
      </c>
      <c r="R30" s="69"/>
      <c r="S30" s="70">
        <f>18800000+4300000</f>
        <v>23100000</v>
      </c>
      <c r="T30" s="70"/>
      <c r="U30" s="379">
        <f>803370+414290</f>
        <v>1217660</v>
      </c>
      <c r="V30" s="65"/>
      <c r="W30" s="71">
        <f t="shared" si="36"/>
        <v>27397.35</v>
      </c>
      <c r="X30" s="71">
        <f t="shared" si="36"/>
        <v>14924.858619999999</v>
      </c>
      <c r="Y30" s="71">
        <f>ROUND(+$U30*Y$1/100,2)</f>
        <v>12317.85</v>
      </c>
      <c r="Z30" s="71">
        <f t="shared" si="37"/>
        <v>54640.058619999996</v>
      </c>
      <c r="AA30" s="65"/>
      <c r="AB30" s="72">
        <v>0</v>
      </c>
      <c r="AC30" s="73">
        <v>0</v>
      </c>
      <c r="AD30" s="73">
        <f>Y30</f>
        <v>12317.85</v>
      </c>
      <c r="AE30" s="73"/>
      <c r="AF30" s="73">
        <f>+AB30+AC30+AD30+AE30</f>
        <v>12317.85</v>
      </c>
      <c r="AG30" s="256"/>
      <c r="AH30" s="74">
        <f t="shared" si="55"/>
        <v>27397.35</v>
      </c>
      <c r="AI30" s="75">
        <f t="shared" si="55"/>
        <v>14924.858619999999</v>
      </c>
      <c r="AJ30" s="75">
        <f t="shared" si="55"/>
        <v>0</v>
      </c>
      <c r="AK30" s="75">
        <f>-AE30</f>
        <v>0</v>
      </c>
      <c r="AL30" s="75">
        <f>+Z30-AF30</f>
        <v>42322.208619999998</v>
      </c>
    </row>
    <row r="31" spans="1:39" s="58" customFormat="1" ht="26.25" customHeight="1" x14ac:dyDescent="0.2">
      <c r="A31" s="59"/>
      <c r="B31" s="60"/>
      <c r="C31" s="61"/>
      <c r="D31" s="61"/>
      <c r="E31" s="62"/>
      <c r="F31" s="61"/>
      <c r="G31" s="63"/>
      <c r="H31" s="64"/>
      <c r="I31" s="65"/>
      <c r="J31" s="61"/>
      <c r="K31" s="63"/>
      <c r="L31" s="154"/>
      <c r="M31" s="65"/>
      <c r="N31" s="66"/>
      <c r="O31" s="66"/>
      <c r="P31" s="98"/>
      <c r="Q31" s="68"/>
      <c r="R31" s="69"/>
      <c r="S31" s="70"/>
      <c r="T31" s="70"/>
      <c r="U31" s="321"/>
      <c r="V31" s="65"/>
      <c r="W31" s="71"/>
      <c r="X31" s="71"/>
      <c r="Y31" s="71"/>
      <c r="Z31" s="71"/>
      <c r="AA31" s="65"/>
      <c r="AB31" s="72"/>
      <c r="AC31" s="73"/>
      <c r="AD31" s="73"/>
      <c r="AE31" s="73"/>
      <c r="AF31" s="73"/>
      <c r="AG31" s="256"/>
      <c r="AH31" s="74"/>
      <c r="AI31" s="75"/>
      <c r="AJ31" s="75"/>
      <c r="AK31" s="75"/>
      <c r="AL31" s="75"/>
    </row>
    <row r="32" spans="1:39" s="58" customFormat="1" ht="26.25" customHeight="1" x14ac:dyDescent="0.2">
      <c r="A32" s="223" t="s">
        <v>79</v>
      </c>
      <c r="B32" s="141" t="s">
        <v>98</v>
      </c>
      <c r="C32" s="141"/>
      <c r="D32" s="141"/>
      <c r="E32" s="146" t="s">
        <v>157</v>
      </c>
      <c r="F32" s="61">
        <v>472</v>
      </c>
      <c r="G32" s="63">
        <v>42310</v>
      </c>
      <c r="H32" s="340" t="s">
        <v>77</v>
      </c>
      <c r="I32" s="65"/>
      <c r="J32" s="61" t="s">
        <v>99</v>
      </c>
      <c r="K32" s="63">
        <v>42305</v>
      </c>
      <c r="L32" s="152" t="s">
        <v>77</v>
      </c>
      <c r="M32" s="65"/>
      <c r="N32" s="66">
        <v>2017</v>
      </c>
      <c r="O32" s="66">
        <v>2026</v>
      </c>
      <c r="P32" s="137">
        <v>50</v>
      </c>
      <c r="Q32" s="142">
        <v>43843</v>
      </c>
      <c r="R32" s="143"/>
      <c r="S32" s="144">
        <v>102500000</v>
      </c>
      <c r="T32" s="144"/>
      <c r="U32" s="372">
        <f>16129037+5770560</f>
        <v>21899597</v>
      </c>
      <c r="V32" s="65"/>
      <c r="W32" s="218">
        <f>+$U32*1.3897/100</f>
        <v>304338.699509</v>
      </c>
      <c r="X32" s="218">
        <f t="shared" ref="X32:Y33" si="56">+$U32*X$1/100</f>
        <v>268423.36042899999</v>
      </c>
      <c r="Y32" s="218">
        <f t="shared" si="56"/>
        <v>221536.32325200003</v>
      </c>
      <c r="Z32" s="218">
        <f>+W32+X32+Y32</f>
        <v>794298.38319000008</v>
      </c>
      <c r="AA32" s="65"/>
      <c r="AB32" s="145">
        <f>W32*0.5</f>
        <v>152169.3497545</v>
      </c>
      <c r="AC32" s="145">
        <f>X32*0.5</f>
        <v>134211.6802145</v>
      </c>
      <c r="AD32" s="145">
        <f>Y32</f>
        <v>221536.32325200003</v>
      </c>
      <c r="AE32" s="258">
        <f>SUM(W32*0.15)+SUM(X32:Y32)*0.1253</f>
        <v>107042.7532915793</v>
      </c>
      <c r="AF32" s="220">
        <f>+AB32+AC32+AD32+AE32</f>
        <v>614960.10651257937</v>
      </c>
      <c r="AG32" s="256"/>
      <c r="AH32" s="221">
        <f t="shared" ref="AH32:AJ32" si="57">+W32-AB32</f>
        <v>152169.3497545</v>
      </c>
      <c r="AI32" s="219">
        <f t="shared" si="57"/>
        <v>134211.6802145</v>
      </c>
      <c r="AJ32" s="219">
        <f t="shared" si="57"/>
        <v>0</v>
      </c>
      <c r="AK32" s="219">
        <f>-AE32</f>
        <v>-107042.7532915793</v>
      </c>
      <c r="AL32" s="219">
        <f>+Z32-AF32</f>
        <v>179338.27667742071</v>
      </c>
    </row>
    <row r="33" spans="1:43" s="58" customFormat="1" ht="26.25" customHeight="1" x14ac:dyDescent="0.2">
      <c r="A33" s="318" t="s">
        <v>79</v>
      </c>
      <c r="B33" s="141" t="s">
        <v>187</v>
      </c>
      <c r="C33" s="141"/>
      <c r="D33" s="141"/>
      <c r="E33" s="146" t="s">
        <v>196</v>
      </c>
      <c r="F33" s="322">
        <v>514</v>
      </c>
      <c r="G33" s="101">
        <v>43927</v>
      </c>
      <c r="H33" s="152" t="s">
        <v>77</v>
      </c>
      <c r="I33" s="315"/>
      <c r="J33" s="316" t="s">
        <v>186</v>
      </c>
      <c r="K33" s="317">
        <v>43908</v>
      </c>
      <c r="L33" s="152" t="s">
        <v>77</v>
      </c>
      <c r="M33" s="315"/>
      <c r="N33" s="314">
        <v>2020</v>
      </c>
      <c r="O33" s="314">
        <v>2034</v>
      </c>
      <c r="P33" s="137">
        <v>482</v>
      </c>
      <c r="Q33" s="142">
        <v>45000</v>
      </c>
      <c r="R33" s="143" t="s">
        <v>188</v>
      </c>
      <c r="S33" s="144">
        <v>505000000</v>
      </c>
      <c r="T33" s="144"/>
      <c r="U33" s="372">
        <f>4113500+286000</f>
        <v>4399500</v>
      </c>
      <c r="V33" s="315"/>
      <c r="W33" s="356">
        <f>+$U33*1.3897/100</f>
        <v>61139.851499999997</v>
      </c>
      <c r="X33" s="356">
        <f t="shared" si="56"/>
        <v>53924.671500000004</v>
      </c>
      <c r="Y33" s="356">
        <f t="shared" si="56"/>
        <v>44505.342000000004</v>
      </c>
      <c r="Z33" s="356">
        <f>+W33+X33+Y33</f>
        <v>159569.86499999999</v>
      </c>
      <c r="AA33" s="315"/>
      <c r="AB33" s="145">
        <v>0</v>
      </c>
      <c r="AC33" s="145">
        <v>0</v>
      </c>
      <c r="AD33" s="145">
        <f>Y33</f>
        <v>44505.342000000004</v>
      </c>
      <c r="AE33" s="313"/>
      <c r="AF33" s="352">
        <f>+AB33+AC33+AD33+AE33</f>
        <v>44505.342000000004</v>
      </c>
      <c r="AG33" s="315"/>
      <c r="AH33" s="353">
        <f t="shared" ref="AH33" si="58">+W33-AB33</f>
        <v>61139.851499999997</v>
      </c>
      <c r="AI33" s="351">
        <f t="shared" ref="AI33" si="59">+X33-AC33</f>
        <v>53924.671500000004</v>
      </c>
      <c r="AJ33" s="351">
        <f t="shared" ref="AJ33" si="60">+Y33-AD33</f>
        <v>0</v>
      </c>
      <c r="AK33" s="351">
        <f>-AE33</f>
        <v>0</v>
      </c>
      <c r="AL33" s="351">
        <f>+Z33-AF33</f>
        <v>115064.52299999999</v>
      </c>
    </row>
    <row r="34" spans="1:43" s="19" customFormat="1" ht="38.25" customHeight="1" x14ac:dyDescent="0.25">
      <c r="A34" s="262" t="s">
        <v>48</v>
      </c>
      <c r="B34" s="263"/>
      <c r="C34" s="263"/>
      <c r="D34" s="263"/>
      <c r="E34" s="263"/>
      <c r="F34" s="264"/>
      <c r="G34" s="265"/>
      <c r="H34" s="265"/>
      <c r="I34" s="266"/>
      <c r="J34" s="263"/>
      <c r="K34" s="267"/>
      <c r="L34" s="268"/>
      <c r="M34" s="266"/>
      <c r="N34" s="263"/>
      <c r="O34" s="263"/>
      <c r="P34" s="263"/>
      <c r="Q34" s="269"/>
      <c r="R34" s="270"/>
      <c r="S34" s="266"/>
      <c r="T34" s="266"/>
      <c r="U34" s="271"/>
      <c r="V34" s="266"/>
      <c r="W34" s="272"/>
      <c r="X34" s="272"/>
      <c r="Y34" s="272"/>
      <c r="Z34" s="266"/>
      <c r="AA34" s="266"/>
      <c r="AB34" s="272"/>
      <c r="AC34" s="272"/>
      <c r="AD34" s="266"/>
      <c r="AE34" s="273"/>
      <c r="AF34" s="266"/>
      <c r="AG34" s="266"/>
      <c r="AH34" s="266"/>
      <c r="AI34" s="266"/>
      <c r="AJ34" s="266"/>
      <c r="AK34" s="266"/>
      <c r="AL34" s="266"/>
    </row>
    <row r="35" spans="1:43" s="150" customFormat="1" ht="37.15" customHeight="1" x14ac:dyDescent="0.2">
      <c r="A35" s="184" t="s">
        <v>182</v>
      </c>
      <c r="B35" s="146"/>
      <c r="C35" s="146"/>
      <c r="D35" s="146"/>
      <c r="E35" s="146" t="s">
        <v>134</v>
      </c>
      <c r="F35" s="61">
        <v>28256</v>
      </c>
      <c r="G35" s="63">
        <v>42164</v>
      </c>
      <c r="H35" s="103" t="s">
        <v>77</v>
      </c>
      <c r="I35" s="99"/>
      <c r="J35" s="146" t="s">
        <v>83</v>
      </c>
      <c r="K35" s="147">
        <v>42186</v>
      </c>
      <c r="L35" s="152" t="s">
        <v>77</v>
      </c>
      <c r="M35" s="99"/>
      <c r="N35" s="146">
        <v>2017</v>
      </c>
      <c r="O35" s="146">
        <v>2030</v>
      </c>
      <c r="P35" s="146"/>
      <c r="Q35" s="68"/>
      <c r="R35" s="148" t="s">
        <v>89</v>
      </c>
      <c r="S35" s="99"/>
      <c r="T35" s="99"/>
      <c r="U35" s="99">
        <f>11751960+56441</f>
        <v>11808401</v>
      </c>
      <c r="V35" s="99"/>
      <c r="W35" s="176">
        <f t="shared" ref="W35:Y51" si="61">+$U35*W$1/100</f>
        <v>265689.02250000002</v>
      </c>
      <c r="X35" s="176">
        <f t="shared" si="61"/>
        <v>144735.57105699999</v>
      </c>
      <c r="Y35" s="176">
        <f t="shared" si="61"/>
        <v>119453.784516</v>
      </c>
      <c r="Z35" s="176">
        <f t="shared" ref="Z35" si="62">+W35+X35+Y35</f>
        <v>529878.378073</v>
      </c>
      <c r="AA35" s="99"/>
      <c r="AB35" s="149">
        <v>0</v>
      </c>
      <c r="AC35" s="149">
        <v>0</v>
      </c>
      <c r="AD35" s="149">
        <f>Y35</f>
        <v>119453.784516</v>
      </c>
      <c r="AE35" s="149"/>
      <c r="AF35" s="178">
        <f t="shared" ref="AF35:AF51" si="63">+AB35+AC35+AD35+AE35</f>
        <v>119453.784516</v>
      </c>
      <c r="AG35" s="99"/>
      <c r="AH35" s="179">
        <f t="shared" ref="AH35" si="64">+W35-AB35</f>
        <v>265689.02250000002</v>
      </c>
      <c r="AI35" s="177">
        <f t="shared" ref="AI35" si="65">+X35-AC35</f>
        <v>144735.57105699999</v>
      </c>
      <c r="AJ35" s="177">
        <f t="shared" ref="AJ35" si="66">+Y35-AD35</f>
        <v>0</v>
      </c>
      <c r="AK35" s="177">
        <f t="shared" ref="AK35" si="67">-AE35</f>
        <v>0</v>
      </c>
      <c r="AL35" s="177">
        <f t="shared" ref="AL35" si="68">+Z35-AF35</f>
        <v>410424.59355699999</v>
      </c>
    </row>
    <row r="36" spans="1:43" s="150" customFormat="1" ht="40.5" customHeight="1" x14ac:dyDescent="0.2">
      <c r="A36" s="217" t="s">
        <v>149</v>
      </c>
      <c r="B36" s="204" t="s">
        <v>150</v>
      </c>
      <c r="C36" s="146"/>
      <c r="D36" s="146"/>
      <c r="E36" s="146" t="s">
        <v>195</v>
      </c>
      <c r="F36" s="205">
        <v>29215</v>
      </c>
      <c r="G36" s="206">
        <v>43025</v>
      </c>
      <c r="H36" s="202" t="s">
        <v>77</v>
      </c>
      <c r="I36" s="99"/>
      <c r="J36" s="146" t="s">
        <v>148</v>
      </c>
      <c r="K36" s="147">
        <v>43089</v>
      </c>
      <c r="L36" s="152" t="s">
        <v>77</v>
      </c>
      <c r="M36" s="99"/>
      <c r="N36" s="146">
        <v>2018</v>
      </c>
      <c r="O36" s="146">
        <v>2032</v>
      </c>
      <c r="P36" s="146"/>
      <c r="Q36" s="203"/>
      <c r="R36" s="148"/>
      <c r="S36" s="99"/>
      <c r="T36" s="99"/>
      <c r="U36" s="99">
        <f>3991760+1262</f>
        <v>3993022</v>
      </c>
      <c r="V36" s="99"/>
      <c r="W36" s="230">
        <f>(1466880+3250)*W$1/100</f>
        <v>33077.925000000003</v>
      </c>
      <c r="X36" s="230">
        <f t="shared" si="61"/>
        <v>48942.470653999997</v>
      </c>
      <c r="Y36" s="230">
        <f t="shared" si="61"/>
        <v>40393.410552000001</v>
      </c>
      <c r="Z36" s="230">
        <f t="shared" ref="Z36:Z37" si="69">+W36+X36+Y36</f>
        <v>122413.80620599999</v>
      </c>
      <c r="AA36" s="99"/>
      <c r="AB36" s="149">
        <f>W36</f>
        <v>33077.925000000003</v>
      </c>
      <c r="AC36" s="232">
        <f>X36</f>
        <v>48942.470653999997</v>
      </c>
      <c r="AD36" s="149">
        <f>Y36</f>
        <v>40393.410552000001</v>
      </c>
      <c r="AE36" s="149"/>
      <c r="AF36" s="232">
        <f t="shared" si="63"/>
        <v>122413.80620599999</v>
      </c>
      <c r="AG36" s="99"/>
      <c r="AH36" s="233">
        <f t="shared" ref="AH36:AH37" si="70">+W36-AB36</f>
        <v>0</v>
      </c>
      <c r="AI36" s="231">
        <f t="shared" ref="AI36:AI37" si="71">+X36-AC36</f>
        <v>0</v>
      </c>
      <c r="AJ36" s="231">
        <f t="shared" ref="AJ36:AJ37" si="72">+Y36-AD36</f>
        <v>0</v>
      </c>
      <c r="AK36" s="231">
        <f t="shared" ref="AK36:AK37" si="73">-AE36</f>
        <v>0</v>
      </c>
      <c r="AL36" s="231">
        <f t="shared" ref="AL36:AL37" si="74">+Z36-AF36</f>
        <v>0</v>
      </c>
    </row>
    <row r="37" spans="1:43" s="150" customFormat="1" ht="40.5" customHeight="1" x14ac:dyDescent="0.2">
      <c r="A37" s="217" t="s">
        <v>206</v>
      </c>
      <c r="B37" s="378" t="s">
        <v>207</v>
      </c>
      <c r="C37" s="146"/>
      <c r="D37" s="146"/>
      <c r="E37" s="146" t="s">
        <v>217</v>
      </c>
      <c r="F37" s="354">
        <v>30577</v>
      </c>
      <c r="G37" s="355">
        <v>44180</v>
      </c>
      <c r="H37" s="362" t="s">
        <v>77</v>
      </c>
      <c r="I37" s="99"/>
      <c r="J37" s="146" t="s">
        <v>208</v>
      </c>
      <c r="K37" s="147">
        <v>44181</v>
      </c>
      <c r="L37" s="152" t="s">
        <v>77</v>
      </c>
      <c r="M37" s="99"/>
      <c r="N37" s="146">
        <v>2022</v>
      </c>
      <c r="O37" s="146">
        <v>2036</v>
      </c>
      <c r="P37" s="146"/>
      <c r="Q37" s="358"/>
      <c r="R37" s="148" t="s">
        <v>209</v>
      </c>
      <c r="S37" s="99"/>
      <c r="T37" s="99"/>
      <c r="U37" s="99">
        <f>776880</f>
        <v>776880</v>
      </c>
      <c r="V37" s="99"/>
      <c r="W37" s="356">
        <f t="shared" si="61"/>
        <v>17479.8</v>
      </c>
      <c r="X37" s="356">
        <f t="shared" si="61"/>
        <v>9522.2181600000004</v>
      </c>
      <c r="Y37" s="356">
        <f t="shared" si="61"/>
        <v>7858.9180800000004</v>
      </c>
      <c r="Z37" s="356">
        <f t="shared" si="69"/>
        <v>34860.936240000003</v>
      </c>
      <c r="AA37" s="99"/>
      <c r="AB37" s="149">
        <v>0</v>
      </c>
      <c r="AC37" s="149">
        <v>0</v>
      </c>
      <c r="AD37" s="149">
        <f>Y37</f>
        <v>7858.9180800000004</v>
      </c>
      <c r="AE37" s="149"/>
      <c r="AF37" s="371">
        <f t="shared" ref="AF37" si="75">+AB37+AC37+AD37+AE37</f>
        <v>7858.9180800000004</v>
      </c>
      <c r="AG37" s="99"/>
      <c r="AH37" s="353">
        <f t="shared" si="70"/>
        <v>17479.8</v>
      </c>
      <c r="AI37" s="351">
        <f t="shared" si="71"/>
        <v>9522.2181600000004</v>
      </c>
      <c r="AJ37" s="351">
        <f t="shared" si="72"/>
        <v>0</v>
      </c>
      <c r="AK37" s="351">
        <f t="shared" si="73"/>
        <v>0</v>
      </c>
      <c r="AL37" s="351">
        <f t="shared" si="74"/>
        <v>27002.018160000003</v>
      </c>
    </row>
    <row r="38" spans="1:43" s="150" customFormat="1" ht="40.5" customHeight="1" x14ac:dyDescent="0.2">
      <c r="A38" s="363" t="s">
        <v>192</v>
      </c>
      <c r="B38" s="364" t="s">
        <v>193</v>
      </c>
      <c r="C38" s="365"/>
      <c r="D38" s="365"/>
      <c r="E38" s="365"/>
      <c r="F38" s="346">
        <v>30649</v>
      </c>
      <c r="G38" s="347">
        <v>44243</v>
      </c>
      <c r="H38" s="350" t="s">
        <v>77</v>
      </c>
      <c r="I38" s="99"/>
      <c r="J38" s="146" t="s">
        <v>194</v>
      </c>
      <c r="K38" s="147">
        <v>44258</v>
      </c>
      <c r="L38" s="152" t="s">
        <v>77</v>
      </c>
      <c r="M38" s="99"/>
      <c r="N38" s="146">
        <v>2023</v>
      </c>
      <c r="O38" s="146">
        <v>2032</v>
      </c>
      <c r="P38" s="146"/>
      <c r="Q38" s="349"/>
      <c r="R38" s="148" t="s">
        <v>205</v>
      </c>
      <c r="S38" s="99"/>
      <c r="T38" s="99"/>
      <c r="U38" s="99"/>
      <c r="V38" s="99"/>
      <c r="W38" s="348"/>
      <c r="X38" s="348"/>
      <c r="Y38" s="348"/>
      <c r="Z38" s="348"/>
      <c r="AA38" s="99"/>
      <c r="AB38" s="149"/>
      <c r="AC38" s="344"/>
      <c r="AD38" s="149"/>
      <c r="AE38" s="149"/>
      <c r="AF38" s="344"/>
      <c r="AG38" s="99"/>
      <c r="AH38" s="345"/>
      <c r="AI38" s="343"/>
      <c r="AJ38" s="343"/>
      <c r="AK38" s="343"/>
      <c r="AL38" s="343"/>
    </row>
    <row r="39" spans="1:43" s="58" customFormat="1" ht="42.6" customHeight="1" x14ac:dyDescent="0.2">
      <c r="A39" s="319" t="s">
        <v>106</v>
      </c>
      <c r="B39" s="141" t="s">
        <v>107</v>
      </c>
      <c r="C39" s="320"/>
      <c r="D39" s="320"/>
      <c r="E39" s="146"/>
      <c r="F39" s="61">
        <v>28815</v>
      </c>
      <c r="G39" s="63">
        <v>42661</v>
      </c>
      <c r="H39" s="103" t="s">
        <v>77</v>
      </c>
      <c r="I39" s="65"/>
      <c r="J39" s="61" t="s">
        <v>108</v>
      </c>
      <c r="K39" s="63">
        <v>42676</v>
      </c>
      <c r="L39" s="152" t="s">
        <v>77</v>
      </c>
      <c r="M39" s="65"/>
      <c r="N39" s="66">
        <v>2019</v>
      </c>
      <c r="O39" s="66">
        <v>2033</v>
      </c>
      <c r="P39" s="151"/>
      <c r="Q39" s="68"/>
      <c r="R39" s="148" t="s">
        <v>109</v>
      </c>
      <c r="S39" s="65"/>
      <c r="T39" s="70"/>
      <c r="U39" s="381">
        <f>7885840+34404</f>
        <v>7920244</v>
      </c>
      <c r="V39" s="65"/>
      <c r="W39" s="71">
        <f t="shared" si="61"/>
        <v>178205.49</v>
      </c>
      <c r="X39" s="71">
        <f t="shared" si="61"/>
        <v>97078.430708000014</v>
      </c>
      <c r="Y39" s="71">
        <f t="shared" si="61"/>
        <v>80121.18830400001</v>
      </c>
      <c r="Z39" s="71">
        <f>+W39+X39+Y39</f>
        <v>355405.10901200003</v>
      </c>
      <c r="AA39" s="65"/>
      <c r="AB39" s="72">
        <v>0</v>
      </c>
      <c r="AC39" s="72">
        <v>0</v>
      </c>
      <c r="AD39" s="72">
        <f>Y39</f>
        <v>80121.18830400001</v>
      </c>
      <c r="AE39" s="73"/>
      <c r="AF39" s="73">
        <f>+AB39+AC39+AD39+AE39</f>
        <v>80121.18830400001</v>
      </c>
      <c r="AG39" s="256"/>
      <c r="AH39" s="74">
        <f t="shared" ref="AH39:AJ40" si="76">+W39-AB39</f>
        <v>178205.49</v>
      </c>
      <c r="AI39" s="75">
        <f t="shared" si="76"/>
        <v>97078.430708000014</v>
      </c>
      <c r="AJ39" s="75">
        <f t="shared" si="76"/>
        <v>0</v>
      </c>
      <c r="AK39" s="75">
        <f>-AE39</f>
        <v>0</v>
      </c>
      <c r="AL39" s="75">
        <f>+Z39-AF39</f>
        <v>275283.92070800002</v>
      </c>
    </row>
    <row r="40" spans="1:43" s="58" customFormat="1" ht="48.6" customHeight="1" x14ac:dyDescent="0.2">
      <c r="A40" s="59" t="s">
        <v>87</v>
      </c>
      <c r="B40" s="60" t="s">
        <v>113</v>
      </c>
      <c r="C40" s="61"/>
      <c r="D40" s="61"/>
      <c r="E40" s="62" t="s">
        <v>156</v>
      </c>
      <c r="F40" s="61">
        <v>28233</v>
      </c>
      <c r="G40" s="63">
        <v>42129</v>
      </c>
      <c r="H40" s="103" t="s">
        <v>77</v>
      </c>
      <c r="I40" s="65"/>
      <c r="J40" s="61" t="s">
        <v>81</v>
      </c>
      <c r="K40" s="63">
        <v>42130</v>
      </c>
      <c r="L40" s="152" t="s">
        <v>77</v>
      </c>
      <c r="M40" s="65"/>
      <c r="N40" s="66">
        <v>2016</v>
      </c>
      <c r="O40" s="66">
        <v>2034</v>
      </c>
      <c r="P40" s="151"/>
      <c r="Q40" s="68"/>
      <c r="R40" s="148" t="s">
        <v>90</v>
      </c>
      <c r="S40" s="65"/>
      <c r="T40" s="70"/>
      <c r="U40" s="381">
        <f>3501440+20104</f>
        <v>3521544</v>
      </c>
      <c r="V40" s="65"/>
      <c r="W40" s="71">
        <f t="shared" si="61"/>
        <v>79234.740000000005</v>
      </c>
      <c r="X40" s="71">
        <f t="shared" si="61"/>
        <v>43163.564808000003</v>
      </c>
      <c r="Y40" s="71">
        <f t="shared" si="61"/>
        <v>35623.939104000005</v>
      </c>
      <c r="Z40" s="71">
        <f>+W40+X40+Y40</f>
        <v>158022.24391200003</v>
      </c>
      <c r="AA40" s="65"/>
      <c r="AB40" s="72">
        <v>0</v>
      </c>
      <c r="AC40" s="72">
        <v>0</v>
      </c>
      <c r="AD40" s="72">
        <f>Y40</f>
        <v>35623.939104000005</v>
      </c>
      <c r="AE40" s="73"/>
      <c r="AF40" s="73">
        <f>+AB40+AC40+AD40+AE40</f>
        <v>35623.939104000005</v>
      </c>
      <c r="AG40" s="256"/>
      <c r="AH40" s="74">
        <f t="shared" si="76"/>
        <v>79234.740000000005</v>
      </c>
      <c r="AI40" s="75">
        <f t="shared" si="76"/>
        <v>43163.564808000003</v>
      </c>
      <c r="AJ40" s="75">
        <f t="shared" si="76"/>
        <v>0</v>
      </c>
      <c r="AK40" s="75">
        <f>-AE40</f>
        <v>0</v>
      </c>
      <c r="AL40" s="75">
        <f>+Z40-AF40</f>
        <v>122398.30480800003</v>
      </c>
    </row>
    <row r="41" spans="1:43" s="58" customFormat="1" ht="25.5" customHeight="1" x14ac:dyDescent="0.2">
      <c r="A41" s="319" t="s">
        <v>166</v>
      </c>
      <c r="B41" s="141" t="s">
        <v>168</v>
      </c>
      <c r="C41" s="320"/>
      <c r="D41" s="320"/>
      <c r="E41" s="146" t="s">
        <v>218</v>
      </c>
      <c r="F41" s="254">
        <v>29744</v>
      </c>
      <c r="G41" s="255">
        <v>43452</v>
      </c>
      <c r="H41" s="249" t="s">
        <v>77</v>
      </c>
      <c r="I41" s="253"/>
      <c r="J41" s="254" t="s">
        <v>167</v>
      </c>
      <c r="K41" s="255">
        <v>43481</v>
      </c>
      <c r="L41" s="152" t="s">
        <v>77</v>
      </c>
      <c r="M41" s="253"/>
      <c r="N41" s="250">
        <v>2020</v>
      </c>
      <c r="O41" s="250">
        <v>2044</v>
      </c>
      <c r="P41" s="151"/>
      <c r="Q41" s="251"/>
      <c r="R41" s="69"/>
      <c r="S41" s="253"/>
      <c r="T41" s="252"/>
      <c r="U41" s="381">
        <f>2385320+10801</f>
        <v>2396121</v>
      </c>
      <c r="V41" s="253"/>
      <c r="W41" s="293">
        <f t="shared" si="61"/>
        <v>53912.722500000003</v>
      </c>
      <c r="X41" s="293">
        <f t="shared" si="61"/>
        <v>29369.255096999997</v>
      </c>
      <c r="Y41" s="293">
        <f t="shared" si="61"/>
        <v>24239.160036000001</v>
      </c>
      <c r="Z41" s="293">
        <f t="shared" ref="Z41" si="77">+W41+X41+Y41</f>
        <v>107521.13763300001</v>
      </c>
      <c r="AA41" s="297"/>
      <c r="AB41" s="298">
        <v>0</v>
      </c>
      <c r="AC41" s="295">
        <v>0</v>
      </c>
      <c r="AD41" s="295">
        <f>Y41</f>
        <v>24239.160036000001</v>
      </c>
      <c r="AE41" s="295"/>
      <c r="AF41" s="295">
        <f t="shared" ref="AF41" si="78">+AB41+AC41+AD41+AE41</f>
        <v>24239.160036000001</v>
      </c>
      <c r="AG41" s="297"/>
      <c r="AH41" s="296">
        <f t="shared" ref="AH41" si="79">+W41-AB41</f>
        <v>53912.722500000003</v>
      </c>
      <c r="AI41" s="294">
        <f t="shared" ref="AI41" si="80">+X41-AC41</f>
        <v>29369.255096999997</v>
      </c>
      <c r="AJ41" s="294">
        <f t="shared" ref="AJ41" si="81">+Y41-AD41</f>
        <v>0</v>
      </c>
      <c r="AK41" s="294">
        <f t="shared" ref="AK41" si="82">-AE41</f>
        <v>0</v>
      </c>
      <c r="AL41" s="294">
        <f t="shared" ref="AL41" si="83">+Z41-AF41</f>
        <v>83281.977597000005</v>
      </c>
    </row>
    <row r="42" spans="1:43" s="58" customFormat="1" ht="25.5" customHeight="1" x14ac:dyDescent="0.2">
      <c r="A42" s="366" t="s">
        <v>201</v>
      </c>
      <c r="B42" s="367" t="s">
        <v>203</v>
      </c>
      <c r="C42" s="338"/>
      <c r="D42" s="338"/>
      <c r="E42" s="365"/>
      <c r="F42" s="354">
        <v>30660</v>
      </c>
      <c r="G42" s="355">
        <v>44250</v>
      </c>
      <c r="H42" s="362" t="s">
        <v>77</v>
      </c>
      <c r="I42" s="360"/>
      <c r="J42" s="354" t="s">
        <v>202</v>
      </c>
      <c r="K42" s="355">
        <v>44307</v>
      </c>
      <c r="L42" s="152" t="s">
        <v>77</v>
      </c>
      <c r="M42" s="360"/>
      <c r="N42" s="357">
        <v>2024</v>
      </c>
      <c r="O42" s="357">
        <v>2040</v>
      </c>
      <c r="P42" s="151"/>
      <c r="Q42" s="358"/>
      <c r="R42" s="69" t="s">
        <v>204</v>
      </c>
      <c r="S42" s="360"/>
      <c r="T42" s="359"/>
      <c r="U42" s="381"/>
      <c r="V42" s="360"/>
      <c r="W42" s="356"/>
      <c r="X42" s="356"/>
      <c r="Y42" s="356"/>
      <c r="Z42" s="356"/>
      <c r="AA42" s="360"/>
      <c r="AB42" s="361"/>
      <c r="AC42" s="352"/>
      <c r="AD42" s="352"/>
      <c r="AE42" s="352"/>
      <c r="AF42" s="352"/>
      <c r="AG42" s="360"/>
      <c r="AH42" s="353"/>
      <c r="AI42" s="351"/>
      <c r="AJ42" s="351"/>
      <c r="AK42" s="351"/>
      <c r="AL42" s="351"/>
    </row>
    <row r="43" spans="1:43" s="58" customFormat="1" ht="51.75" customHeight="1" x14ac:dyDescent="0.2">
      <c r="A43" s="291" t="s">
        <v>151</v>
      </c>
      <c r="B43" s="141" t="s">
        <v>153</v>
      </c>
      <c r="C43" s="289"/>
      <c r="D43" s="289"/>
      <c r="E43" s="146" t="s">
        <v>180</v>
      </c>
      <c r="F43" s="212">
        <v>29634</v>
      </c>
      <c r="G43" s="213">
        <v>43368</v>
      </c>
      <c r="H43" s="215" t="s">
        <v>77</v>
      </c>
      <c r="I43" s="210"/>
      <c r="J43" s="212" t="s">
        <v>152</v>
      </c>
      <c r="K43" s="213">
        <v>43376</v>
      </c>
      <c r="L43" s="152" t="s">
        <v>77</v>
      </c>
      <c r="M43" s="210"/>
      <c r="N43" s="207">
        <v>2019</v>
      </c>
      <c r="O43" s="207">
        <v>2033</v>
      </c>
      <c r="P43" s="151"/>
      <c r="Q43" s="208"/>
      <c r="R43" s="69" t="s">
        <v>154</v>
      </c>
      <c r="S43" s="210"/>
      <c r="T43" s="209"/>
      <c r="U43" s="381">
        <f>2069440+48356</f>
        <v>2117796</v>
      </c>
      <c r="V43" s="210"/>
      <c r="W43" s="285">
        <f t="shared" si="61"/>
        <v>47650.41</v>
      </c>
      <c r="X43" s="285">
        <f t="shared" si="61"/>
        <v>25957.825572000002</v>
      </c>
      <c r="Y43" s="285">
        <f t="shared" si="61"/>
        <v>21423.624336000001</v>
      </c>
      <c r="Z43" s="285">
        <f t="shared" ref="Z43" si="84">+W43+X43+Y43</f>
        <v>95031.859908000013</v>
      </c>
      <c r="AA43" s="210"/>
      <c r="AB43" s="211"/>
      <c r="AC43" s="100">
        <v>0</v>
      </c>
      <c r="AD43" s="100">
        <f>Y43</f>
        <v>21423.624336000001</v>
      </c>
      <c r="AE43" s="214"/>
      <c r="AF43" s="287">
        <f t="shared" si="63"/>
        <v>21423.624336000001</v>
      </c>
      <c r="AG43" s="256"/>
      <c r="AH43" s="288">
        <f t="shared" ref="AH43" si="85">+W43-AB43</f>
        <v>47650.41</v>
      </c>
      <c r="AI43" s="286">
        <f t="shared" ref="AI43" si="86">+X43-AC43</f>
        <v>25957.825572000002</v>
      </c>
      <c r="AJ43" s="286">
        <f t="shared" ref="AJ43" si="87">+Y43-AD43</f>
        <v>0</v>
      </c>
      <c r="AK43" s="286">
        <f t="shared" ref="AK43" si="88">-AE43</f>
        <v>0</v>
      </c>
      <c r="AL43" s="286">
        <f t="shared" ref="AL43" si="89">+Z43-AF43</f>
        <v>73608.235572000005</v>
      </c>
    </row>
    <row r="44" spans="1:43" s="58" customFormat="1" ht="25.5" hidden="1" customHeight="1" x14ac:dyDescent="0.2">
      <c r="A44" s="228" t="s">
        <v>115</v>
      </c>
      <c r="B44" s="141" t="s">
        <v>173</v>
      </c>
      <c r="C44" s="229"/>
      <c r="D44" s="229"/>
      <c r="E44" s="146"/>
      <c r="F44" s="61">
        <v>28852</v>
      </c>
      <c r="G44" s="63">
        <v>42710</v>
      </c>
      <c r="H44" s="103" t="s">
        <v>77</v>
      </c>
      <c r="I44" s="65"/>
      <c r="J44" s="61" t="s">
        <v>114</v>
      </c>
      <c r="K44" s="63">
        <v>42725</v>
      </c>
      <c r="L44" s="152" t="s">
        <v>77</v>
      </c>
      <c r="M44" s="65"/>
      <c r="N44" s="66">
        <v>2017</v>
      </c>
      <c r="O44" s="66">
        <v>2037</v>
      </c>
      <c r="P44" s="151"/>
      <c r="Q44" s="68"/>
      <c r="R44" s="153" t="s">
        <v>118</v>
      </c>
      <c r="S44" s="65"/>
      <c r="T44" s="70"/>
      <c r="U44" s="303"/>
      <c r="V44" s="65"/>
      <c r="W44" s="71"/>
      <c r="X44" s="71"/>
      <c r="Y44" s="71"/>
      <c r="Z44" s="71"/>
      <c r="AA44" s="65"/>
      <c r="AB44" s="72"/>
      <c r="AC44" s="100"/>
      <c r="AD44" s="100"/>
      <c r="AE44" s="73"/>
      <c r="AF44" s="73"/>
      <c r="AG44" s="256"/>
      <c r="AH44" s="74"/>
      <c r="AI44" s="75"/>
      <c r="AJ44" s="75"/>
      <c r="AK44" s="75"/>
      <c r="AL44" s="75"/>
    </row>
    <row r="45" spans="1:43" s="58" customFormat="1" ht="65.25" customHeight="1" x14ac:dyDescent="0.2">
      <c r="A45" s="185" t="s">
        <v>129</v>
      </c>
      <c r="B45" s="186" t="s">
        <v>130</v>
      </c>
      <c r="C45" s="167"/>
      <c r="D45" s="167"/>
      <c r="E45" s="187" t="s">
        <v>135</v>
      </c>
      <c r="F45" s="163">
        <v>28336</v>
      </c>
      <c r="G45" s="165">
        <v>42206</v>
      </c>
      <c r="H45" s="84" t="s">
        <v>77</v>
      </c>
      <c r="I45" s="166"/>
      <c r="J45" s="163" t="s">
        <v>131</v>
      </c>
      <c r="K45" s="165">
        <v>42221</v>
      </c>
      <c r="L45" s="88" t="s">
        <v>77</v>
      </c>
      <c r="M45" s="166"/>
      <c r="N45" s="167">
        <v>2017</v>
      </c>
      <c r="O45" s="167">
        <v>2031</v>
      </c>
      <c r="P45" s="168"/>
      <c r="Q45" s="169"/>
      <c r="R45" s="170" t="s">
        <v>230</v>
      </c>
      <c r="S45" s="166"/>
      <c r="T45" s="171"/>
      <c r="U45" s="166">
        <f>6987960+44070</f>
        <v>7032030</v>
      </c>
      <c r="V45" s="166"/>
      <c r="W45" s="180">
        <f t="shared" si="61"/>
        <v>158220.67499999999</v>
      </c>
      <c r="X45" s="180">
        <f t="shared" si="61"/>
        <v>86191.591710000008</v>
      </c>
      <c r="Y45" s="180">
        <f t="shared" si="61"/>
        <v>71136.015480000002</v>
      </c>
      <c r="Z45" s="180">
        <f t="shared" ref="Z45" si="90">+W45+X45+Y45</f>
        <v>315548.28219</v>
      </c>
      <c r="AA45" s="166"/>
      <c r="AB45" s="172">
        <v>0</v>
      </c>
      <c r="AC45" s="173">
        <v>0</v>
      </c>
      <c r="AD45" s="173">
        <f>Y45</f>
        <v>71136.015480000002</v>
      </c>
      <c r="AE45" s="174"/>
      <c r="AF45" s="181">
        <f t="shared" si="63"/>
        <v>71136.015480000002</v>
      </c>
      <c r="AG45" s="166"/>
      <c r="AH45" s="183">
        <f t="shared" ref="AH45" si="91">+W45-AB45</f>
        <v>158220.67499999999</v>
      </c>
      <c r="AI45" s="182">
        <f t="shared" ref="AI45" si="92">+X45-AC45</f>
        <v>86191.591710000008</v>
      </c>
      <c r="AJ45" s="182">
        <f t="shared" ref="AJ45" si="93">+Y45-AD45</f>
        <v>0</v>
      </c>
      <c r="AK45" s="182">
        <f t="shared" ref="AK45" si="94">-AE45</f>
        <v>0</v>
      </c>
      <c r="AL45" s="182">
        <f t="shared" ref="AL45" si="95">+Z45-AF45</f>
        <v>244412.26671</v>
      </c>
      <c r="AM45" s="164"/>
    </row>
    <row r="46" spans="1:43" s="58" customFormat="1" ht="42.6" customHeight="1" x14ac:dyDescent="0.2">
      <c r="A46" s="138" t="s">
        <v>85</v>
      </c>
      <c r="B46" s="119" t="s">
        <v>86</v>
      </c>
      <c r="C46" s="120"/>
      <c r="D46" s="121"/>
      <c r="E46" s="122" t="s">
        <v>111</v>
      </c>
      <c r="F46" s="121">
        <v>28139</v>
      </c>
      <c r="G46" s="122">
        <v>42045</v>
      </c>
      <c r="H46" s="139" t="s">
        <v>77</v>
      </c>
      <c r="I46" s="119"/>
      <c r="J46" s="121" t="s">
        <v>80</v>
      </c>
      <c r="K46" s="122">
        <v>42053</v>
      </c>
      <c r="L46" s="152" t="s">
        <v>77</v>
      </c>
      <c r="M46" s="128"/>
      <c r="N46" s="126">
        <v>2016</v>
      </c>
      <c r="O46" s="126">
        <v>2030</v>
      </c>
      <c r="P46" s="69"/>
      <c r="Q46" s="128"/>
      <c r="R46" s="148" t="s">
        <v>91</v>
      </c>
      <c r="S46" s="128"/>
      <c r="T46" s="128"/>
      <c r="U46" s="379">
        <f>2562120+17508</f>
        <v>2579628</v>
      </c>
      <c r="V46" s="128"/>
      <c r="W46" s="129">
        <f t="shared" si="61"/>
        <v>58041.63</v>
      </c>
      <c r="X46" s="129">
        <f t="shared" si="61"/>
        <v>31618.500396000003</v>
      </c>
      <c r="Y46" s="129">
        <f t="shared" si="61"/>
        <v>26095.516847999999</v>
      </c>
      <c r="Z46" s="129">
        <f>+W46+X46+Y46</f>
        <v>115755.64724399999</v>
      </c>
      <c r="AA46" s="128"/>
      <c r="AB46" s="130">
        <v>0</v>
      </c>
      <c r="AC46" s="100">
        <v>0</v>
      </c>
      <c r="AD46" s="100">
        <f>Y46</f>
        <v>26095.516847999999</v>
      </c>
      <c r="AE46" s="131"/>
      <c r="AF46" s="131">
        <f t="shared" si="63"/>
        <v>26095.516847999999</v>
      </c>
      <c r="AG46" s="256"/>
      <c r="AH46" s="132">
        <f>+W46-AB46</f>
        <v>58041.63</v>
      </c>
      <c r="AI46" s="133">
        <f>+X46-AC46</f>
        <v>31618.500396000003</v>
      </c>
      <c r="AJ46" s="133">
        <f>+Y46-AD46</f>
        <v>0</v>
      </c>
      <c r="AK46" s="133">
        <f>-AE46</f>
        <v>0</v>
      </c>
      <c r="AL46" s="133">
        <f>+Z46-AF46</f>
        <v>89660.130395999993</v>
      </c>
      <c r="AM46" s="80"/>
      <c r="AN46" s="80"/>
      <c r="AO46" s="80"/>
      <c r="AP46" s="80"/>
      <c r="AQ46" s="80"/>
    </row>
    <row r="47" spans="1:43" s="58" customFormat="1" ht="25.5" customHeight="1" x14ac:dyDescent="0.2">
      <c r="A47" s="59" t="s">
        <v>29</v>
      </c>
      <c r="B47" s="60" t="s">
        <v>30</v>
      </c>
      <c r="C47" s="61">
        <v>35.043092999999999</v>
      </c>
      <c r="D47" s="61">
        <v>-85.2932019</v>
      </c>
      <c r="E47" s="62" t="s">
        <v>102</v>
      </c>
      <c r="F47" s="61">
        <v>27337</v>
      </c>
      <c r="G47" s="63">
        <v>41247</v>
      </c>
      <c r="H47" s="64" t="s">
        <v>77</v>
      </c>
      <c r="I47" s="65"/>
      <c r="J47" s="61" t="s">
        <v>59</v>
      </c>
      <c r="K47" s="63">
        <v>41262</v>
      </c>
      <c r="L47" s="154" t="s">
        <v>77</v>
      </c>
      <c r="M47" s="65"/>
      <c r="N47" s="66">
        <v>2013</v>
      </c>
      <c r="O47" s="66">
        <v>2024</v>
      </c>
      <c r="P47" s="151"/>
      <c r="Q47" s="68"/>
      <c r="R47" s="69"/>
      <c r="S47" s="65"/>
      <c r="T47" s="70"/>
      <c r="U47" s="375">
        <f>841400+4785</f>
        <v>846185</v>
      </c>
      <c r="V47" s="65"/>
      <c r="W47" s="71">
        <f t="shared" si="61"/>
        <v>19039.162499999999</v>
      </c>
      <c r="X47" s="71">
        <f t="shared" si="61"/>
        <v>10371.689544999999</v>
      </c>
      <c r="Y47" s="71">
        <f t="shared" si="61"/>
        <v>8560.0074600000007</v>
      </c>
      <c r="Z47" s="71">
        <f t="shared" ref="Z47:Z49" si="96">+W47+X47+Y47</f>
        <v>37970.859505</v>
      </c>
      <c r="AA47" s="65"/>
      <c r="AB47" s="72">
        <v>5790.05</v>
      </c>
      <c r="AC47" s="73">
        <f>6374.18*X1/(X1+Y1)</f>
        <v>3492.0808233138155</v>
      </c>
      <c r="AD47" s="73">
        <f>5629.5+48.41+6374.18*Y1/(X1+Y1)</f>
        <v>8560.0091766861842</v>
      </c>
      <c r="AE47" s="73"/>
      <c r="AF47" s="73">
        <f t="shared" si="63"/>
        <v>17842.14</v>
      </c>
      <c r="AG47" s="256"/>
      <c r="AH47" s="74">
        <f t="shared" ref="AH47:AJ49" si="97">+W47-AB47</f>
        <v>13249.112499999999</v>
      </c>
      <c r="AI47" s="75">
        <f t="shared" si="97"/>
        <v>6879.6087216861833</v>
      </c>
      <c r="AJ47" s="75">
        <f>ROUND(+Y47-AD47,0)</f>
        <v>0</v>
      </c>
      <c r="AK47" s="75">
        <f t="shared" ref="AK47:AK49" si="98">-AE47</f>
        <v>0</v>
      </c>
      <c r="AL47" s="75">
        <f t="shared" ref="AL47:AL49" si="99">+Z47-AF47</f>
        <v>20128.719505000001</v>
      </c>
    </row>
    <row r="48" spans="1:43" s="58" customFormat="1" ht="25.5" customHeight="1" x14ac:dyDescent="0.2">
      <c r="A48" s="59" t="s">
        <v>27</v>
      </c>
      <c r="B48" s="60" t="s">
        <v>28</v>
      </c>
      <c r="C48" s="102"/>
      <c r="D48" s="102"/>
      <c r="E48" s="62" t="s">
        <v>101</v>
      </c>
      <c r="F48" s="61">
        <v>27336</v>
      </c>
      <c r="G48" s="63">
        <v>41247</v>
      </c>
      <c r="H48" s="64" t="s">
        <v>77</v>
      </c>
      <c r="I48" s="65"/>
      <c r="J48" s="61" t="s">
        <v>58</v>
      </c>
      <c r="K48" s="63">
        <v>41262</v>
      </c>
      <c r="L48" s="154" t="s">
        <v>77</v>
      </c>
      <c r="M48" s="65"/>
      <c r="N48" s="66">
        <v>2013</v>
      </c>
      <c r="O48" s="66">
        <v>2024</v>
      </c>
      <c r="P48" s="151"/>
      <c r="Q48" s="68"/>
      <c r="R48" s="69"/>
      <c r="S48" s="65"/>
      <c r="T48" s="70"/>
      <c r="U48" s="375">
        <f>172560+644800+4188</f>
        <v>821548</v>
      </c>
      <c r="V48" s="65"/>
      <c r="W48" s="71">
        <f t="shared" si="61"/>
        <v>18484.830000000002</v>
      </c>
      <c r="X48" s="71">
        <f t="shared" si="61"/>
        <v>10069.713836000001</v>
      </c>
      <c r="Y48" s="71">
        <f t="shared" si="61"/>
        <v>8310.7795679999999</v>
      </c>
      <c r="Z48" s="71">
        <f t="shared" si="96"/>
        <v>36865.323404000002</v>
      </c>
      <c r="AA48" s="65"/>
      <c r="AB48" s="72">
        <f>593.87+9553.72</f>
        <v>10147.59</v>
      </c>
      <c r="AC48" s="73">
        <f>(654.95+9257.06)*X1/(X1+Y1)</f>
        <v>5430.2733906941394</v>
      </c>
      <c r="AD48" s="73">
        <f>1449.48+2337.2+42.37+(654.95+9257.06)*Y1/(X1+Y1)</f>
        <v>8310.7866093058601</v>
      </c>
      <c r="AE48" s="73"/>
      <c r="AF48" s="73">
        <f t="shared" si="63"/>
        <v>23888.65</v>
      </c>
      <c r="AG48" s="256"/>
      <c r="AH48" s="74">
        <f t="shared" si="97"/>
        <v>8337.2400000000016</v>
      </c>
      <c r="AI48" s="75">
        <f t="shared" si="97"/>
        <v>4639.4404453058614</v>
      </c>
      <c r="AJ48" s="175">
        <f>ROUND(+Y48-AD48,0)</f>
        <v>0</v>
      </c>
      <c r="AK48" s="75">
        <f t="shared" si="98"/>
        <v>0</v>
      </c>
      <c r="AL48" s="75">
        <f t="shared" si="99"/>
        <v>12976.673404000001</v>
      </c>
    </row>
    <row r="49" spans="1:40" s="58" customFormat="1" ht="26.25" customHeight="1" x14ac:dyDescent="0.2">
      <c r="A49" s="59" t="s">
        <v>31</v>
      </c>
      <c r="B49" s="60" t="s">
        <v>32</v>
      </c>
      <c r="C49" s="61">
        <v>35.054606679999999</v>
      </c>
      <c r="D49" s="61">
        <v>-85.307281329999995</v>
      </c>
      <c r="E49" s="62" t="s">
        <v>112</v>
      </c>
      <c r="F49" s="61">
        <v>23253</v>
      </c>
      <c r="G49" s="63">
        <v>40513</v>
      </c>
      <c r="H49" s="64" t="s">
        <v>77</v>
      </c>
      <c r="I49" s="65"/>
      <c r="J49" s="61" t="s">
        <v>51</v>
      </c>
      <c r="K49" s="63">
        <v>37349</v>
      </c>
      <c r="L49" s="154" t="s">
        <v>77</v>
      </c>
      <c r="M49" s="65"/>
      <c r="N49" s="66">
        <v>2012</v>
      </c>
      <c r="O49" s="66">
        <v>2025</v>
      </c>
      <c r="P49" s="151"/>
      <c r="Q49" s="68"/>
      <c r="R49" s="69"/>
      <c r="S49" s="65"/>
      <c r="T49" s="70"/>
      <c r="U49" s="379">
        <v>5316680</v>
      </c>
      <c r="V49" s="65"/>
      <c r="W49" s="71">
        <f t="shared" si="61"/>
        <v>119625.3</v>
      </c>
      <c r="X49" s="71">
        <f t="shared" si="61"/>
        <v>65166.546759999997</v>
      </c>
      <c r="Y49" s="71">
        <f t="shared" si="61"/>
        <v>53783.534879999999</v>
      </c>
      <c r="Z49" s="71">
        <f t="shared" si="96"/>
        <v>238575.38163999998</v>
      </c>
      <c r="AA49" s="65"/>
      <c r="AB49" s="149">
        <f>W49*0.2</f>
        <v>23925.06</v>
      </c>
      <c r="AC49" s="149">
        <f>X49*0.2</f>
        <v>13033.309352</v>
      </c>
      <c r="AD49" s="149">
        <f>Y49*0.2</f>
        <v>10756.706976000001</v>
      </c>
      <c r="AE49" s="73"/>
      <c r="AF49" s="73">
        <f t="shared" si="63"/>
        <v>47715.076328000003</v>
      </c>
      <c r="AG49" s="256"/>
      <c r="AH49" s="74">
        <f t="shared" si="97"/>
        <v>95700.24</v>
      </c>
      <c r="AI49" s="75">
        <f t="shared" si="97"/>
        <v>52133.237408000001</v>
      </c>
      <c r="AJ49" s="75">
        <f t="shared" si="97"/>
        <v>43026.827903999998</v>
      </c>
      <c r="AK49" s="75">
        <f t="shared" si="98"/>
        <v>0</v>
      </c>
      <c r="AL49" s="75">
        <f t="shared" si="99"/>
        <v>190860.30531199998</v>
      </c>
    </row>
    <row r="50" spans="1:40" s="58" customFormat="1" ht="26.25" customHeight="1" x14ac:dyDescent="0.2">
      <c r="A50" s="109" t="s">
        <v>120</v>
      </c>
      <c r="B50" s="60"/>
      <c r="C50" s="61"/>
      <c r="D50" s="61"/>
      <c r="E50" s="62"/>
      <c r="F50" s="61"/>
      <c r="G50" s="63"/>
      <c r="H50" s="64"/>
      <c r="I50" s="65"/>
      <c r="J50" s="61"/>
      <c r="K50" s="63"/>
      <c r="L50" s="154"/>
      <c r="M50" s="65"/>
      <c r="N50" s="66"/>
      <c r="O50" s="66"/>
      <c r="P50" s="151"/>
      <c r="Q50" s="68"/>
      <c r="R50" s="69"/>
      <c r="S50" s="65"/>
      <c r="T50" s="70"/>
      <c r="U50" s="374"/>
      <c r="V50" s="65"/>
      <c r="W50" s="71"/>
      <c r="X50" s="71"/>
      <c r="Y50" s="71"/>
      <c r="Z50" s="71"/>
      <c r="AA50" s="65"/>
      <c r="AB50" s="72"/>
      <c r="AC50" s="73"/>
      <c r="AD50" s="73"/>
      <c r="AE50" s="73"/>
      <c r="AF50" s="73"/>
      <c r="AG50" s="256"/>
      <c r="AH50" s="74"/>
      <c r="AI50" s="75"/>
      <c r="AJ50" s="75"/>
      <c r="AK50" s="75"/>
      <c r="AL50" s="75"/>
    </row>
    <row r="51" spans="1:40" s="58" customFormat="1" ht="36" x14ac:dyDescent="0.2">
      <c r="A51" s="248" t="s">
        <v>161</v>
      </c>
      <c r="B51" s="141" t="s">
        <v>117</v>
      </c>
      <c r="C51" s="243"/>
      <c r="D51" s="243"/>
      <c r="E51" s="146" t="s">
        <v>163</v>
      </c>
      <c r="F51" s="61">
        <v>28835</v>
      </c>
      <c r="G51" s="63">
        <v>42682</v>
      </c>
      <c r="H51" s="103" t="s">
        <v>77</v>
      </c>
      <c r="I51" s="65"/>
      <c r="J51" s="66" t="s">
        <v>116</v>
      </c>
      <c r="K51" s="155">
        <v>42711</v>
      </c>
      <c r="L51" s="156" t="s">
        <v>77</v>
      </c>
      <c r="M51" s="65"/>
      <c r="N51" s="66">
        <v>2018</v>
      </c>
      <c r="O51" s="66">
        <v>2028</v>
      </c>
      <c r="P51" s="151"/>
      <c r="Q51" s="68"/>
      <c r="R51" s="153" t="s">
        <v>121</v>
      </c>
      <c r="S51" s="65"/>
      <c r="T51" s="70"/>
      <c r="U51" s="374">
        <f>2787720+17538</f>
        <v>2805258</v>
      </c>
      <c r="V51" s="65"/>
      <c r="W51" s="239">
        <f t="shared" si="61"/>
        <v>63118.305</v>
      </c>
      <c r="X51" s="239">
        <f t="shared" si="61"/>
        <v>34384.047306</v>
      </c>
      <c r="Y51" s="239">
        <f t="shared" si="61"/>
        <v>28377.989928000003</v>
      </c>
      <c r="Z51" s="239">
        <f t="shared" ref="Z51" si="100">+W51+X51+Y51</f>
        <v>125880.34223400001</v>
      </c>
      <c r="AA51" s="65"/>
      <c r="AB51" s="72"/>
      <c r="AC51" s="73"/>
      <c r="AD51" s="73">
        <v>51000</v>
      </c>
      <c r="AE51" s="73"/>
      <c r="AF51" s="246">
        <f t="shared" si="63"/>
        <v>51000</v>
      </c>
      <c r="AG51" s="256"/>
      <c r="AH51" s="247">
        <f t="shared" ref="AH51" si="101">+W51-AB51</f>
        <v>63118.305</v>
      </c>
      <c r="AI51" s="245">
        <f t="shared" ref="AI51" si="102">+X51-AC51</f>
        <v>34384.047306</v>
      </c>
      <c r="AJ51" s="245">
        <f t="shared" ref="AJ51" si="103">+Y51-AD51</f>
        <v>-22622.010071999997</v>
      </c>
      <c r="AK51" s="245">
        <f t="shared" ref="AK51" si="104">-AE51</f>
        <v>0</v>
      </c>
      <c r="AL51" s="245">
        <f t="shared" ref="AL51" si="105">+Z51-AF51</f>
        <v>74880.342234000011</v>
      </c>
    </row>
    <row r="52" spans="1:40" s="58" customFormat="1" ht="4.5" customHeight="1" x14ac:dyDescent="0.2">
      <c r="A52" s="79"/>
      <c r="B52" s="80"/>
      <c r="C52" s="81"/>
      <c r="D52" s="81"/>
      <c r="E52" s="82"/>
      <c r="F52" s="81"/>
      <c r="G52" s="83"/>
      <c r="H52" s="84"/>
      <c r="I52" s="85"/>
      <c r="J52" s="81"/>
      <c r="K52" s="83"/>
      <c r="L52" s="88"/>
      <c r="M52" s="85"/>
      <c r="N52" s="157"/>
      <c r="O52" s="157"/>
      <c r="P52" s="158"/>
      <c r="Q52" s="91"/>
      <c r="R52" s="159"/>
      <c r="S52" s="85"/>
      <c r="T52" s="160"/>
      <c r="U52" s="85"/>
      <c r="V52" s="85"/>
      <c r="W52" s="94"/>
      <c r="X52" s="94"/>
      <c r="Y52" s="94"/>
      <c r="Z52" s="94"/>
      <c r="AA52" s="85"/>
      <c r="AB52" s="96"/>
      <c r="AC52" s="161"/>
      <c r="AD52" s="161"/>
      <c r="AE52" s="161"/>
      <c r="AF52" s="161"/>
      <c r="AG52" s="85"/>
      <c r="AH52" s="97"/>
      <c r="AI52" s="162"/>
      <c r="AJ52" s="162"/>
      <c r="AK52" s="162"/>
      <c r="AL52" s="162"/>
    </row>
    <row r="53" spans="1:40" ht="25.5" customHeight="1" thickBot="1" x14ac:dyDescent="0.25">
      <c r="R53" s="31"/>
      <c r="W53" s="26">
        <f>SUM(W5:W51)</f>
        <v>19397134.603509001</v>
      </c>
      <c r="X53" s="26">
        <f>SUM(X5:X51)</f>
        <v>10290274.702301998</v>
      </c>
      <c r="Y53" s="26">
        <f>SUM(Y5:Y51)</f>
        <v>8492813.8083919976</v>
      </c>
      <c r="Z53" s="26">
        <f>SUM(Z5:Z51)</f>
        <v>38180223.114203006</v>
      </c>
      <c r="AB53" s="25">
        <f>SUM(AB5:AB51)</f>
        <v>3980307.1359194997</v>
      </c>
      <c r="AC53" s="25">
        <f>SUM(AC5:AC51)</f>
        <v>1815243.910205526</v>
      </c>
      <c r="AD53" s="25">
        <f>SUM(AD5:AD51)</f>
        <v>6920383.2122819917</v>
      </c>
      <c r="AE53" s="25">
        <f>SUM(AE5:AE51)</f>
        <v>904515.49677667394</v>
      </c>
      <c r="AF53" s="25">
        <f>SUM(AF5:AF51)</f>
        <v>13620449.755183693</v>
      </c>
      <c r="AH53" s="23">
        <f>SUM(AH5:AH51)</f>
        <v>15416827.467589505</v>
      </c>
      <c r="AI53" s="23">
        <f>SUM(AI5:AI51)</f>
        <v>8475030.7920964751</v>
      </c>
      <c r="AJ53" s="23">
        <f>SUM(AJ5:AJ51)</f>
        <v>1572430.6048680006</v>
      </c>
      <c r="AK53" s="23">
        <f>SUM(AK5:AK51)</f>
        <v>-904515.49677667394</v>
      </c>
      <c r="AL53" s="23">
        <f>SUM(AL5:AL51)</f>
        <v>24559773.359019306</v>
      </c>
      <c r="AM53" s="3"/>
      <c r="AN53" s="3"/>
    </row>
    <row r="54" spans="1:40" ht="30.6" customHeight="1" thickTop="1" x14ac:dyDescent="0.2">
      <c r="A54" s="224" t="s">
        <v>222</v>
      </c>
      <c r="B54" s="39"/>
      <c r="C54" s="39"/>
      <c r="D54" s="39"/>
      <c r="E54" s="39"/>
      <c r="F54" s="39"/>
      <c r="G54" s="39"/>
      <c r="H54" s="39"/>
      <c r="I54" s="39"/>
      <c r="J54" s="39"/>
      <c r="K54" s="39"/>
      <c r="L54" s="39"/>
      <c r="M54" s="38"/>
      <c r="N54" s="37"/>
      <c r="O54" s="37"/>
      <c r="R54" s="31"/>
    </row>
    <row r="55" spans="1:40" ht="30.6" customHeight="1" x14ac:dyDescent="0.2">
      <c r="A55" s="274"/>
      <c r="B55" s="275"/>
      <c r="C55" s="275"/>
      <c r="D55" s="275"/>
      <c r="E55" s="275"/>
      <c r="F55" s="275"/>
      <c r="G55" s="275"/>
      <c r="H55" s="275"/>
      <c r="I55" s="275"/>
      <c r="J55" s="275"/>
      <c r="K55" s="275"/>
      <c r="L55" s="275"/>
      <c r="M55" s="38"/>
      <c r="N55" s="37"/>
      <c r="O55" s="37"/>
      <c r="R55" s="31"/>
      <c r="AB55" s="467"/>
      <c r="AC55" s="467"/>
      <c r="AD55" s="467"/>
      <c r="AE55" s="467"/>
      <c r="AF55" s="467"/>
    </row>
    <row r="56" spans="1:40" ht="15" customHeight="1" x14ac:dyDescent="0.2">
      <c r="R56" s="31"/>
    </row>
    <row r="57" spans="1:40" customFormat="1" ht="15" customHeight="1" thickBot="1" x14ac:dyDescent="0.25">
      <c r="A57" s="22"/>
      <c r="E57" s="15"/>
      <c r="F57" s="434" t="s">
        <v>45</v>
      </c>
      <c r="G57" s="434"/>
      <c r="H57" s="434"/>
      <c r="I57" s="36"/>
      <c r="J57" s="434" t="s">
        <v>46</v>
      </c>
      <c r="K57" s="434"/>
      <c r="L57" s="434"/>
      <c r="M57" s="36"/>
      <c r="N57" s="22"/>
      <c r="O57" s="22"/>
      <c r="Q57" s="32"/>
      <c r="R57" s="27"/>
      <c r="S57" s="1"/>
      <c r="T57" s="1"/>
      <c r="U57" s="34"/>
      <c r="V57" s="5"/>
      <c r="W57" s="201" t="s">
        <v>143</v>
      </c>
      <c r="X57" s="7"/>
      <c r="Y57" s="7"/>
      <c r="Z57" s="7"/>
      <c r="AA57" s="5"/>
      <c r="AB57" s="435" t="s">
        <v>174</v>
      </c>
      <c r="AC57" s="436"/>
      <c r="AD57" s="436"/>
      <c r="AE57" s="436"/>
      <c r="AF57" s="437"/>
      <c r="AG57" s="5"/>
      <c r="AH57" s="438" t="s">
        <v>144</v>
      </c>
      <c r="AI57" s="439"/>
      <c r="AJ57" s="439"/>
      <c r="AK57" s="439"/>
      <c r="AL57" s="440"/>
    </row>
    <row r="58" spans="1:40" s="15" customFormat="1" ht="24" customHeight="1" x14ac:dyDescent="0.2">
      <c r="A58" s="16" t="s">
        <v>0</v>
      </c>
      <c r="B58" s="8" t="s">
        <v>3</v>
      </c>
      <c r="C58" s="24" t="s">
        <v>8</v>
      </c>
      <c r="D58" s="24" t="s">
        <v>9</v>
      </c>
      <c r="E58" s="8" t="s">
        <v>64</v>
      </c>
      <c r="F58" s="8" t="s">
        <v>57</v>
      </c>
      <c r="G58" s="14" t="s">
        <v>5</v>
      </c>
      <c r="H58" s="14" t="s">
        <v>76</v>
      </c>
      <c r="I58" s="12"/>
      <c r="J58" s="8" t="s">
        <v>57</v>
      </c>
      <c r="K58" s="14" t="s">
        <v>5</v>
      </c>
      <c r="L58" s="14" t="s">
        <v>76</v>
      </c>
      <c r="M58" s="12"/>
      <c r="N58" s="16" t="s">
        <v>6</v>
      </c>
      <c r="O58" s="16" t="s">
        <v>7</v>
      </c>
      <c r="P58" s="16" t="s">
        <v>1</v>
      </c>
      <c r="Q58" s="30" t="s">
        <v>2</v>
      </c>
      <c r="R58" s="16" t="s">
        <v>88</v>
      </c>
      <c r="S58" s="12" t="s">
        <v>119</v>
      </c>
      <c r="T58" s="9" t="s">
        <v>4</v>
      </c>
      <c r="U58" s="12" t="s">
        <v>142</v>
      </c>
      <c r="V58" s="12"/>
      <c r="W58" s="11" t="s">
        <v>35</v>
      </c>
      <c r="X58" s="11" t="s">
        <v>36</v>
      </c>
      <c r="Y58" s="11" t="s">
        <v>37</v>
      </c>
      <c r="Z58" s="10" t="s">
        <v>175</v>
      </c>
      <c r="AA58" s="12"/>
      <c r="AB58" s="21" t="s">
        <v>219</v>
      </c>
      <c r="AC58" s="21" t="s">
        <v>220</v>
      </c>
      <c r="AD58" s="21" t="s">
        <v>221</v>
      </c>
      <c r="AE58" s="21" t="s">
        <v>172</v>
      </c>
      <c r="AF58" s="21" t="s">
        <v>145</v>
      </c>
      <c r="AG58" s="12"/>
      <c r="AH58" s="13" t="s">
        <v>41</v>
      </c>
      <c r="AI58" s="13" t="s">
        <v>42</v>
      </c>
      <c r="AJ58" s="13" t="s">
        <v>43</v>
      </c>
      <c r="AK58" s="13" t="s">
        <v>172</v>
      </c>
      <c r="AL58" s="13" t="s">
        <v>176</v>
      </c>
    </row>
    <row r="59" spans="1:40" ht="15" customHeight="1" x14ac:dyDescent="0.2">
      <c r="R59" s="31"/>
    </row>
    <row r="60" spans="1:40" ht="28.5" customHeight="1" x14ac:dyDescent="0.2">
      <c r="A60" s="109" t="s">
        <v>138</v>
      </c>
      <c r="R60" s="31"/>
    </row>
    <row r="61" spans="1:40" s="58" customFormat="1" ht="25.5" customHeight="1" x14ac:dyDescent="0.2">
      <c r="A61" s="199" t="s">
        <v>139</v>
      </c>
      <c r="B61" s="195"/>
      <c r="C61" s="102"/>
      <c r="D61" s="102"/>
      <c r="E61" s="196"/>
      <c r="F61" s="197">
        <v>27143</v>
      </c>
      <c r="G61" s="198">
        <v>41079</v>
      </c>
      <c r="H61" s="398" t="s">
        <v>77</v>
      </c>
      <c r="I61" s="194"/>
      <c r="J61" s="197" t="s">
        <v>146</v>
      </c>
      <c r="K61" s="198">
        <v>41066</v>
      </c>
      <c r="L61" s="152" t="s">
        <v>77</v>
      </c>
      <c r="M61" s="194"/>
      <c r="N61" s="191">
        <v>2013</v>
      </c>
      <c r="O61" s="191">
        <v>2032</v>
      </c>
      <c r="P61" s="192" t="s">
        <v>10</v>
      </c>
      <c r="Q61" s="192" t="s">
        <v>10</v>
      </c>
      <c r="R61" s="69" t="s">
        <v>141</v>
      </c>
      <c r="S61" s="192">
        <v>500000000</v>
      </c>
      <c r="T61" s="193"/>
      <c r="U61" s="388">
        <v>31057769</v>
      </c>
      <c r="V61" s="194"/>
      <c r="W61" s="304">
        <f>+$U61*W$1/100</f>
        <v>698799.80249999999</v>
      </c>
      <c r="X61" s="304">
        <f t="shared" ref="W61:Y65" si="106">+$U61*X$1/100</f>
        <v>380675.07463299995</v>
      </c>
      <c r="Y61" s="304">
        <f t="shared" si="106"/>
        <v>314180.39120399999</v>
      </c>
      <c r="Z61" s="304">
        <f t="shared" ref="Z61" si="107">+W61+X61+Y61</f>
        <v>1393655.2683369999</v>
      </c>
      <c r="AA61" s="310"/>
      <c r="AB61" s="390">
        <f>ROUND(+(685500*0.02309)+(U61-685500)*0.004029,0)</f>
        <v>138198</v>
      </c>
      <c r="AC61" s="306">
        <f>ROUND(+(685500*(0.013926-0.004075))+(U61)*0.003633,0)</f>
        <v>119586</v>
      </c>
      <c r="AD61" s="306">
        <f>+U61*$Y$1/100</f>
        <v>314180.39120399999</v>
      </c>
      <c r="AE61" s="306">
        <f>ROUND((AI61+AJ61)*0.05+(AH61*0.05),0)</f>
        <v>41085</v>
      </c>
      <c r="AF61" s="306">
        <f>SUM(AB61:AE61)</f>
        <v>613049.39120399999</v>
      </c>
      <c r="AG61" s="310"/>
      <c r="AH61" s="307">
        <f t="shared" ref="AH61" si="108">+W61-AB61</f>
        <v>560601.80249999999</v>
      </c>
      <c r="AI61" s="305">
        <f t="shared" ref="AI61" si="109">+X61-AC61</f>
        <v>261089.07463299995</v>
      </c>
      <c r="AJ61" s="305">
        <f t="shared" ref="AJ61" si="110">+Y61-AD61</f>
        <v>0</v>
      </c>
      <c r="AK61" s="305">
        <f t="shared" ref="AK61" si="111">-AE61</f>
        <v>-41085</v>
      </c>
      <c r="AL61" s="305">
        <f t="shared" ref="AL61" si="112">+Z61-AF61</f>
        <v>780605.87713299994</v>
      </c>
    </row>
    <row r="62" spans="1:40" s="58" customFormat="1" ht="39.75" customHeight="1" x14ac:dyDescent="0.2">
      <c r="A62" s="199" t="s">
        <v>140</v>
      </c>
      <c r="B62" s="195"/>
      <c r="C62" s="102"/>
      <c r="D62" s="102"/>
      <c r="E62" s="196"/>
      <c r="F62" s="197">
        <v>29336</v>
      </c>
      <c r="G62" s="198">
        <v>43151</v>
      </c>
      <c r="H62" s="200" t="s">
        <v>77</v>
      </c>
      <c r="I62" s="194"/>
      <c r="J62" s="197" t="s">
        <v>147</v>
      </c>
      <c r="K62" s="198">
        <v>43166</v>
      </c>
      <c r="L62" s="152" t="s">
        <v>77</v>
      </c>
      <c r="M62" s="194"/>
      <c r="N62" s="191">
        <v>2018</v>
      </c>
      <c r="O62" s="191">
        <v>2032</v>
      </c>
      <c r="P62" s="216">
        <v>92</v>
      </c>
      <c r="Q62" s="192" t="s">
        <v>10</v>
      </c>
      <c r="R62" s="69" t="s">
        <v>223</v>
      </c>
      <c r="S62" s="192" t="s">
        <v>10</v>
      </c>
      <c r="T62" s="193"/>
      <c r="U62" s="388">
        <v>24733141</v>
      </c>
      <c r="V62" s="194"/>
      <c r="W62" s="304">
        <f t="shared" si="106"/>
        <v>556495.67249999999</v>
      </c>
      <c r="X62" s="304">
        <f t="shared" si="106"/>
        <v>303154.109237</v>
      </c>
      <c r="Y62" s="304">
        <f t="shared" si="106"/>
        <v>250200.454356</v>
      </c>
      <c r="Z62" s="304">
        <f t="shared" ref="Z62" si="113">+W62+X62+Y62</f>
        <v>1109850.236093</v>
      </c>
      <c r="AA62" s="310"/>
      <c r="AB62" s="390">
        <f>ROUND(+(2231247*0.02309)+(U62-2231247)*$W$1/100*0.4,0)</f>
        <v>254037</v>
      </c>
      <c r="AC62" s="306">
        <f>ROUND(+(2231247*(0.015149-0.004223))+(U62)*0.003633,0)</f>
        <v>114234</v>
      </c>
      <c r="AD62" s="306">
        <f>+U62*$Y$1/100</f>
        <v>250200.454356</v>
      </c>
      <c r="AE62" s="387">
        <f>ROUND((AI62+AJ62)*0.05+(AH62*0.05),0)</f>
        <v>24569</v>
      </c>
      <c r="AF62" s="306">
        <f>SUM(AB62:AE62)</f>
        <v>643040.45435600006</v>
      </c>
      <c r="AG62" s="310"/>
      <c r="AH62" s="307">
        <f t="shared" ref="AH62" si="114">+W62-AB62</f>
        <v>302458.67249999999</v>
      </c>
      <c r="AI62" s="305">
        <f t="shared" ref="AI62" si="115">+X62-AC62</f>
        <v>188920.109237</v>
      </c>
      <c r="AJ62" s="305">
        <f t="shared" ref="AJ62" si="116">+Y62-AD62</f>
        <v>0</v>
      </c>
      <c r="AK62" s="305">
        <f t="shared" ref="AK62" si="117">-AE62</f>
        <v>-24569</v>
      </c>
      <c r="AL62" s="305">
        <f t="shared" ref="AL62" si="118">+Z62-AF62</f>
        <v>466809.78173699998</v>
      </c>
    </row>
    <row r="63" spans="1:40" s="58" customFormat="1" ht="39.75" customHeight="1" x14ac:dyDescent="0.2">
      <c r="A63" s="301" t="s">
        <v>183</v>
      </c>
      <c r="B63" s="299"/>
      <c r="C63" s="102"/>
      <c r="D63" s="102"/>
      <c r="E63" s="300"/>
      <c r="F63" s="311">
        <v>30103</v>
      </c>
      <c r="G63" s="101">
        <v>43753</v>
      </c>
      <c r="H63" s="152" t="s">
        <v>77</v>
      </c>
      <c r="I63" s="312"/>
      <c r="J63" s="311" t="s">
        <v>184</v>
      </c>
      <c r="K63" s="101">
        <v>43817</v>
      </c>
      <c r="L63" s="152" t="s">
        <v>77</v>
      </c>
      <c r="M63" s="312"/>
      <c r="N63" s="311">
        <v>2020</v>
      </c>
      <c r="O63" s="308">
        <v>2040</v>
      </c>
      <c r="P63" s="309" t="s">
        <v>10</v>
      </c>
      <c r="Q63" s="309" t="s">
        <v>10</v>
      </c>
      <c r="R63" s="69" t="s">
        <v>185</v>
      </c>
      <c r="S63" s="309" t="s">
        <v>10</v>
      </c>
      <c r="T63" s="303"/>
      <c r="U63" s="388">
        <v>626480</v>
      </c>
      <c r="V63" s="297"/>
      <c r="W63" s="293">
        <f t="shared" si="106"/>
        <v>14095.8</v>
      </c>
      <c r="X63" s="293">
        <f t="shared" si="106"/>
        <v>7678.7653599999994</v>
      </c>
      <c r="Y63" s="293">
        <f t="shared" si="106"/>
        <v>6337.4716800000006</v>
      </c>
      <c r="Z63" s="293">
        <f t="shared" ref="Z63" si="119">+W63+X63+Y63</f>
        <v>28112.037040000003</v>
      </c>
      <c r="AA63" s="297"/>
      <c r="AB63" s="390">
        <f>ROUND(+(0*0.02277)+(U63-0)*0.004029,0)</f>
        <v>2524</v>
      </c>
      <c r="AC63" s="341">
        <f>ROUND(+(0*(0.015149-0.004612))+(U63)*0.003633,0)</f>
        <v>2276</v>
      </c>
      <c r="AD63" s="295">
        <f>+U63*$Y$1/100</f>
        <v>6337.4716800000006</v>
      </c>
      <c r="AE63" s="387">
        <f>ROUND((AI63+AJ63)*0.05+(AH63*0.05),0)</f>
        <v>849</v>
      </c>
      <c r="AF63" s="295">
        <f>SUM(AB63:AE63)</f>
        <v>11986.471680000001</v>
      </c>
      <c r="AG63" s="297"/>
      <c r="AH63" s="296">
        <f t="shared" ref="AH63" si="120">+W63-AB63</f>
        <v>11571.8</v>
      </c>
      <c r="AI63" s="294">
        <f t="shared" ref="AI63" si="121">+X63-AC63</f>
        <v>5402.7653599999994</v>
      </c>
      <c r="AJ63" s="294">
        <f t="shared" ref="AJ63" si="122">+Y63-AD63</f>
        <v>0</v>
      </c>
      <c r="AK63" s="294">
        <f t="shared" ref="AK63" si="123">-AE63</f>
        <v>-849</v>
      </c>
      <c r="AL63" s="294">
        <f t="shared" ref="AL63" si="124">+Z63-AF63</f>
        <v>16125.565360000002</v>
      </c>
    </row>
    <row r="64" spans="1:40" s="58" customFormat="1" ht="39.75" customHeight="1" x14ac:dyDescent="0.2">
      <c r="A64" s="319" t="s">
        <v>214</v>
      </c>
      <c r="B64" s="396"/>
      <c r="C64" s="102"/>
      <c r="D64" s="102"/>
      <c r="E64" s="397"/>
      <c r="F64" s="393">
        <v>31115</v>
      </c>
      <c r="G64" s="101">
        <v>44698</v>
      </c>
      <c r="H64" s="152" t="s">
        <v>77</v>
      </c>
      <c r="I64" s="395"/>
      <c r="J64" s="393" t="s">
        <v>216</v>
      </c>
      <c r="K64" s="101">
        <v>44762</v>
      </c>
      <c r="L64" s="152" t="s">
        <v>77</v>
      </c>
      <c r="M64" s="395"/>
      <c r="N64" s="441" t="s">
        <v>226</v>
      </c>
      <c r="O64" s="441"/>
      <c r="P64" s="441"/>
      <c r="Q64" s="441"/>
      <c r="R64" s="69" t="s">
        <v>225</v>
      </c>
      <c r="S64" s="394" t="s">
        <v>229</v>
      </c>
      <c r="T64" s="303"/>
      <c r="U64" s="395">
        <v>4043040</v>
      </c>
      <c r="V64" s="395"/>
      <c r="W64" s="392">
        <f>+$U64*W$1/100</f>
        <v>90968.4</v>
      </c>
      <c r="X64" s="392">
        <f>+$U64*X$1/100</f>
        <v>49555.541280000005</v>
      </c>
      <c r="Y64" s="392">
        <f>+$U64*Y$1/100</f>
        <v>40899.392640000005</v>
      </c>
      <c r="Z64" s="392">
        <f>+W64+X64+Y64</f>
        <v>181423.33392</v>
      </c>
      <c r="AA64" s="395"/>
      <c r="AB64" s="390">
        <f>ROUND(3585680*2.25/100+((U64-3585680)*2.25/100)*0.4,0)</f>
        <v>84794</v>
      </c>
      <c r="AC64" s="390">
        <f>ROUND(+(3585680*(0.012257-0.00365))+(U64)*0.003633,0)</f>
        <v>45550</v>
      </c>
      <c r="AD64" s="390">
        <f>+U64*$Y$1/100</f>
        <v>40899.392640000005</v>
      </c>
      <c r="AE64" s="399">
        <f>ROUND((AI64+AJ64)*0.05+(AH64*0.0025),0)</f>
        <v>216</v>
      </c>
      <c r="AF64" s="399">
        <f>SUM(AB64:AE64)</f>
        <v>171459.39264000001</v>
      </c>
      <c r="AG64" s="395"/>
      <c r="AH64" s="391">
        <f>+W64-AB64</f>
        <v>6174.3999999999942</v>
      </c>
      <c r="AI64" s="389">
        <f>+X64-AC64</f>
        <v>4005.5412800000049</v>
      </c>
      <c r="AJ64" s="389">
        <f>+Y64-AD64</f>
        <v>0</v>
      </c>
      <c r="AK64" s="389">
        <f>-AE64</f>
        <v>-216</v>
      </c>
      <c r="AL64" s="389">
        <f>+Z64-AF64</f>
        <v>9963.9412799999991</v>
      </c>
    </row>
    <row r="65" spans="1:40" s="58" customFormat="1" ht="63.75" customHeight="1" x14ac:dyDescent="0.2">
      <c r="A65" s="319" t="s">
        <v>213</v>
      </c>
      <c r="B65" s="396"/>
      <c r="C65" s="102"/>
      <c r="D65" s="102"/>
      <c r="E65" s="397"/>
      <c r="F65" s="393">
        <v>31194</v>
      </c>
      <c r="G65" s="101">
        <v>44768</v>
      </c>
      <c r="H65" s="152" t="s">
        <v>77</v>
      </c>
      <c r="I65" s="395"/>
      <c r="J65" s="393" t="s">
        <v>215</v>
      </c>
      <c r="K65" s="101">
        <v>44776</v>
      </c>
      <c r="L65" s="152" t="s">
        <v>77</v>
      </c>
      <c r="M65" s="395"/>
      <c r="N65" s="441" t="s">
        <v>227</v>
      </c>
      <c r="O65" s="441"/>
      <c r="P65" s="441"/>
      <c r="Q65" s="441"/>
      <c r="R65" s="69" t="s">
        <v>224</v>
      </c>
      <c r="S65" s="394" t="s">
        <v>228</v>
      </c>
      <c r="T65" s="303"/>
      <c r="U65" s="395">
        <v>43926930</v>
      </c>
      <c r="V65" s="395"/>
      <c r="W65" s="392">
        <f t="shared" si="106"/>
        <v>988355.92500000005</v>
      </c>
      <c r="X65" s="392">
        <f t="shared" si="106"/>
        <v>538412.38101000001</v>
      </c>
      <c r="Y65" s="392">
        <f t="shared" si="106"/>
        <v>444364.82388000004</v>
      </c>
      <c r="Z65" s="392">
        <f t="shared" ref="Z65" si="125">+W65+X65+Y65</f>
        <v>1971133.12989</v>
      </c>
      <c r="AA65" s="395"/>
      <c r="AB65" s="390">
        <f>ROUND(+(43550355*0.0225)+(U65-43550355)*W1/100*0.25,0)</f>
        <v>982001</v>
      </c>
      <c r="AC65" s="390">
        <f>ROUND(+(43550355*(0.012257-0.00365))+(U65)*0.003633,0)</f>
        <v>534424</v>
      </c>
      <c r="AD65" s="390">
        <f t="shared" ref="AD65" si="126">+U65*$Y$1/100</f>
        <v>444364.82388000004</v>
      </c>
      <c r="AE65" s="399">
        <f t="shared" ref="AE65" si="127">ROUND((AI65+AJ65)*0.05+(AH65*0.0025),0)</f>
        <v>215</v>
      </c>
      <c r="AF65" s="399">
        <f t="shared" ref="AF65" si="128">SUM(AB65:AE65)</f>
        <v>1961004.82388</v>
      </c>
      <c r="AG65" s="395"/>
      <c r="AH65" s="391">
        <f t="shared" ref="AH65" si="129">+W65-AB65</f>
        <v>6354.9250000000466</v>
      </c>
      <c r="AI65" s="389">
        <f t="shared" ref="AI65" si="130">+X65-AC65</f>
        <v>3988.3810100000119</v>
      </c>
      <c r="AJ65" s="389">
        <f t="shared" ref="AJ65" si="131">+Y65-AD65</f>
        <v>0</v>
      </c>
      <c r="AK65" s="389">
        <f t="shared" ref="AK65" si="132">-AE65</f>
        <v>-215</v>
      </c>
      <c r="AL65" s="389">
        <f t="shared" ref="AL65" si="133">+Z65-AF65</f>
        <v>10128.306009999942</v>
      </c>
    </row>
    <row r="66" spans="1:40" s="58" customFormat="1" ht="4.5" customHeight="1" x14ac:dyDescent="0.2">
      <c r="A66" s="79"/>
      <c r="B66" s="80"/>
      <c r="C66" s="81"/>
      <c r="D66" s="81"/>
      <c r="E66" s="82"/>
      <c r="F66" s="81"/>
      <c r="G66" s="83"/>
      <c r="H66" s="84"/>
      <c r="I66" s="85"/>
      <c r="J66" s="81"/>
      <c r="K66" s="83"/>
      <c r="L66" s="88"/>
      <c r="M66" s="85"/>
      <c r="N66" s="157"/>
      <c r="O66" s="157"/>
      <c r="P66" s="158"/>
      <c r="Q66" s="91"/>
      <c r="R66" s="159"/>
      <c r="S66" s="85"/>
      <c r="T66" s="160"/>
      <c r="U66" s="85"/>
      <c r="V66" s="85"/>
      <c r="W66" s="94"/>
      <c r="X66" s="94"/>
      <c r="Y66" s="94"/>
      <c r="Z66" s="94"/>
      <c r="AA66" s="85"/>
      <c r="AB66" s="96"/>
      <c r="AC66" s="161"/>
      <c r="AD66" s="161"/>
      <c r="AE66" s="161"/>
      <c r="AF66" s="161"/>
      <c r="AG66" s="85"/>
      <c r="AH66" s="97"/>
      <c r="AI66" s="162"/>
      <c r="AJ66" s="162"/>
      <c r="AK66" s="162"/>
      <c r="AL66" s="162"/>
    </row>
    <row r="67" spans="1:40" ht="25.5" customHeight="1" thickBot="1" x14ac:dyDescent="0.25">
      <c r="R67" s="31"/>
      <c r="W67" s="26">
        <f>SUM(W61:W66)</f>
        <v>2348715.6</v>
      </c>
      <c r="X67" s="26">
        <f>SUM(X61:X66)</f>
        <v>1279475.87152</v>
      </c>
      <c r="Y67" s="26">
        <f>SUM(Y61:Y66)</f>
        <v>1055982.53376</v>
      </c>
      <c r="Z67" s="26">
        <f>SUM(Z61:Z66)</f>
        <v>4684174.0052799992</v>
      </c>
      <c r="AB67" s="25">
        <f>SUM(AB61:AB66)</f>
        <v>1461554</v>
      </c>
      <c r="AC67" s="25">
        <f>SUM(AC61:AC66)</f>
        <v>816070</v>
      </c>
      <c r="AD67" s="25">
        <f>SUM(AD61:AD66)</f>
        <v>1055982.53376</v>
      </c>
      <c r="AE67" s="25">
        <f>SUM(AE61:AE66)</f>
        <v>66934</v>
      </c>
      <c r="AF67" s="25">
        <f>SUM(AF61:AF66)</f>
        <v>3400540.53376</v>
      </c>
      <c r="AH67" s="23">
        <f>SUM(AH61:AH66)</f>
        <v>887161.60000000009</v>
      </c>
      <c r="AI67" s="23">
        <f>SUM(AI61:AI66)</f>
        <v>463405.87151999999</v>
      </c>
      <c r="AJ67" s="23">
        <f>SUM(AJ61:AJ66)</f>
        <v>0</v>
      </c>
      <c r="AK67" s="23">
        <f>SUM(AK61:AK66)</f>
        <v>-66934</v>
      </c>
      <c r="AL67" s="23">
        <f>SUM(AL61:AL66)</f>
        <v>1283633.4715199997</v>
      </c>
      <c r="AM67" s="3"/>
      <c r="AN67" s="3"/>
    </row>
    <row r="68" spans="1:40" ht="15" customHeight="1" thickTop="1" x14ac:dyDescent="0.2">
      <c r="R68" s="31"/>
    </row>
    <row r="69" spans="1:40" ht="15" customHeight="1" x14ac:dyDescent="0.2">
      <c r="E69" s="22"/>
      <c r="I69" s="22"/>
      <c r="R69" s="31"/>
    </row>
    <row r="70" spans="1:40" ht="15" customHeight="1" x14ac:dyDescent="0.2">
      <c r="R70" s="31"/>
      <c r="AB70" s="342"/>
    </row>
    <row r="71" spans="1:40" ht="15" customHeight="1" x14ac:dyDescent="0.2">
      <c r="R71" s="31"/>
      <c r="AB71" s="342"/>
    </row>
    <row r="72" spans="1:40" ht="15" customHeight="1" x14ac:dyDescent="0.2">
      <c r="R72" s="31"/>
      <c r="AB72" s="342"/>
    </row>
    <row r="73" spans="1:40" ht="15" customHeight="1" x14ac:dyDescent="0.2">
      <c r="R73" s="31"/>
    </row>
    <row r="74" spans="1:40" ht="15" customHeight="1" x14ac:dyDescent="0.2">
      <c r="R74" s="31"/>
    </row>
    <row r="75" spans="1:40" ht="15" customHeight="1" x14ac:dyDescent="0.2">
      <c r="R75" s="31"/>
    </row>
    <row r="76" spans="1:40" ht="15" customHeight="1" x14ac:dyDescent="0.2">
      <c r="R76" s="31"/>
    </row>
    <row r="77" spans="1:40" ht="15" customHeight="1" x14ac:dyDescent="0.2">
      <c r="R77" s="31"/>
    </row>
    <row r="78" spans="1:40" ht="15" customHeight="1" x14ac:dyDescent="0.2">
      <c r="R78" s="31"/>
    </row>
    <row r="79" spans="1:40" ht="15" customHeight="1" x14ac:dyDescent="0.2">
      <c r="R79" s="31"/>
    </row>
    <row r="80" spans="1:40"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row r="119" spans="18:18" ht="15" customHeight="1" x14ac:dyDescent="0.2">
      <c r="R119" s="31"/>
    </row>
    <row r="120" spans="18:18" ht="15" customHeight="1" x14ac:dyDescent="0.2">
      <c r="R120" s="31"/>
    </row>
  </sheetData>
  <autoFilter ref="A3:AL51"/>
  <mergeCells count="84">
    <mergeCell ref="N64:Q64"/>
    <mergeCell ref="N65:Q65"/>
    <mergeCell ref="S23:S25"/>
    <mergeCell ref="F57:H57"/>
    <mergeCell ref="J57:L57"/>
    <mergeCell ref="AB57:AF57"/>
    <mergeCell ref="AH57:AL57"/>
    <mergeCell ref="AB55:AF55"/>
    <mergeCell ref="N23:N25"/>
    <mergeCell ref="O23:O25"/>
    <mergeCell ref="P23:P25"/>
    <mergeCell ref="Q23:Q25"/>
    <mergeCell ref="R23:R25"/>
    <mergeCell ref="U23:U25"/>
    <mergeCell ref="W23:W25"/>
    <mergeCell ref="X23:X25"/>
    <mergeCell ref="Y23:Y25"/>
    <mergeCell ref="Z23:Z25"/>
    <mergeCell ref="N26:N27"/>
    <mergeCell ref="O26:O27"/>
    <mergeCell ref="X26:X27"/>
    <mergeCell ref="AC21:AC22"/>
    <mergeCell ref="AD21:AD22"/>
    <mergeCell ref="AE21:AE22"/>
    <mergeCell ref="AF21:AF22"/>
    <mergeCell ref="AH21:AH22"/>
    <mergeCell ref="B21:B22"/>
    <mergeCell ref="E21:E22"/>
    <mergeCell ref="F21:F22"/>
    <mergeCell ref="G21:G22"/>
    <mergeCell ref="H21:H22"/>
    <mergeCell ref="F2:H2"/>
    <mergeCell ref="J2:L2"/>
    <mergeCell ref="AB2:AF2"/>
    <mergeCell ref="AH2:AL2"/>
    <mergeCell ref="A21:A22"/>
    <mergeCell ref="N21:N22"/>
    <mergeCell ref="O21:O22"/>
    <mergeCell ref="P21:P22"/>
    <mergeCell ref="Q21:Q22"/>
    <mergeCell ref="S21:S22"/>
    <mergeCell ref="U21:U22"/>
    <mergeCell ref="W21:W22"/>
    <mergeCell ref="X21:X22"/>
    <mergeCell ref="Y21:Y22"/>
    <mergeCell ref="Z21:Z22"/>
    <mergeCell ref="AB21:AB22"/>
    <mergeCell ref="Y26:Y27"/>
    <mergeCell ref="Z26:Z27"/>
    <mergeCell ref="P26:P27"/>
    <mergeCell ref="Q26:Q27"/>
    <mergeCell ref="S26:S27"/>
    <mergeCell ref="U26:U27"/>
    <mergeCell ref="W26:W27"/>
    <mergeCell ref="A23:A25"/>
    <mergeCell ref="B23:B25"/>
    <mergeCell ref="E23:E25"/>
    <mergeCell ref="A26:A27"/>
    <mergeCell ref="B26:B27"/>
    <mergeCell ref="E26:E27"/>
    <mergeCell ref="AB23:AB25"/>
    <mergeCell ref="AJ26:AJ27"/>
    <mergeCell ref="AK26:AK27"/>
    <mergeCell ref="AL26:AL27"/>
    <mergeCell ref="AD26:AD27"/>
    <mergeCell ref="AE26:AE27"/>
    <mergeCell ref="AF26:AF27"/>
    <mergeCell ref="AH26:AH27"/>
    <mergeCell ref="AI26:AI27"/>
    <mergeCell ref="AB26:AB27"/>
    <mergeCell ref="AC26:AC27"/>
    <mergeCell ref="AC23:AC25"/>
    <mergeCell ref="AD23:AD25"/>
    <mergeCell ref="AE23:AE25"/>
    <mergeCell ref="AF23:AF25"/>
    <mergeCell ref="AH23:AH25"/>
    <mergeCell ref="AI23:AI25"/>
    <mergeCell ref="AJ23:AJ25"/>
    <mergeCell ref="AK23:AK25"/>
    <mergeCell ref="AL23:AL25"/>
    <mergeCell ref="AI21:AI22"/>
    <mergeCell ref="AJ21:AJ22"/>
    <mergeCell ref="AK21:AK22"/>
    <mergeCell ref="AL21:AL22"/>
  </mergeCells>
  <hyperlinks>
    <hyperlink ref="H8" r:id="rId1"/>
    <hyperlink ref="H6" r:id="rId2"/>
    <hyperlink ref="H21" r:id="rId3"/>
    <hyperlink ref="H11" r:id="rId4"/>
    <hyperlink ref="H12" r:id="rId5"/>
    <hyperlink ref="H14" r:id="rId6"/>
    <hyperlink ref="H15" r:id="rId7"/>
    <hyperlink ref="H17" r:id="rId8"/>
    <hyperlink ref="H18" r:id="rId9"/>
    <hyperlink ref="H29" r:id="rId10"/>
    <hyperlink ref="H47" r:id="rId11"/>
    <hyperlink ref="H48" r:id="rId12"/>
    <hyperlink ref="H49" r:id="rId13"/>
    <hyperlink ref="L49" r:id="rId14"/>
    <hyperlink ref="L8" r:id="rId15"/>
    <hyperlink ref="L6" r:id="rId16"/>
    <hyperlink ref="L11" r:id="rId17"/>
    <hyperlink ref="L12" r:id="rId18"/>
    <hyperlink ref="L14" r:id="rId19"/>
    <hyperlink ref="L15" r:id="rId20"/>
    <hyperlink ref="L17" r:id="rId21"/>
    <hyperlink ref="L18" r:id="rId22"/>
    <hyperlink ref="L29" r:id="rId23"/>
    <hyperlink ref="L47" r:id="rId24"/>
    <hyperlink ref="L48" r:id="rId25"/>
    <hyperlink ref="H40" r:id="rId26"/>
    <hyperlink ref="L40" r:id="rId27"/>
    <hyperlink ref="H23" r:id="rId28"/>
    <hyperlink ref="H9" r:id="rId29"/>
    <hyperlink ref="L35" r:id="rId30"/>
    <hyperlink ref="L23" r:id="rId31"/>
    <hyperlink ref="L9" r:id="rId32"/>
    <hyperlink ref="H35" r:id="rId33"/>
    <hyperlink ref="L21" r:id="rId34"/>
    <hyperlink ref="L22" r:id="rId35"/>
    <hyperlink ref="H24" r:id="rId36"/>
    <hyperlink ref="L24" r:id="rId37"/>
    <hyperlink ref="L32" r:id="rId38"/>
    <hyperlink ref="H19" r:id="rId39"/>
    <hyperlink ref="L19" r:id="rId40"/>
    <hyperlink ref="H39" r:id="rId41"/>
    <hyperlink ref="L39" r:id="rId42"/>
    <hyperlink ref="L5" r:id="rId43"/>
    <hyperlink ref="H5" r:id="rId44"/>
    <hyperlink ref="L51" r:id="rId45"/>
    <hyperlink ref="H51" r:id="rId46"/>
    <hyperlink ref="H7" r:id="rId47"/>
    <hyperlink ref="L7" r:id="rId48"/>
    <hyperlink ref="H10" r:id="rId49"/>
    <hyperlink ref="L10" r:id="rId50"/>
    <hyperlink ref="L46" r:id="rId51"/>
    <hyperlink ref="H46" r:id="rId52"/>
    <hyperlink ref="H45" r:id="rId53"/>
    <hyperlink ref="L45" r:id="rId54"/>
    <hyperlink ref="L61" r:id="rId55"/>
    <hyperlink ref="L62" r:id="rId56"/>
    <hyperlink ref="H62" r:id="rId57"/>
    <hyperlink ref="H61" r:id="rId58"/>
    <hyperlink ref="L36" r:id="rId59"/>
    <hyperlink ref="H36" r:id="rId60"/>
    <hyperlink ref="L43" r:id="rId61"/>
    <hyperlink ref="H43" r:id="rId62"/>
    <hyperlink ref="H26" r:id="rId63"/>
    <hyperlink ref="L26" r:id="rId64"/>
    <hyperlink ref="H41" r:id="rId65"/>
    <hyperlink ref="L41" r:id="rId66"/>
    <hyperlink ref="L25" r:id="rId67"/>
    <hyperlink ref="H25" r:id="rId68"/>
    <hyperlink ref="H63" r:id="rId69"/>
    <hyperlink ref="L63" r:id="rId70"/>
    <hyperlink ref="L33" r:id="rId71"/>
    <hyperlink ref="L28" r:id="rId72"/>
    <hyperlink ref="H32" r:id="rId73"/>
    <hyperlink ref="H33" r:id="rId74"/>
    <hyperlink ref="L38" r:id="rId75"/>
    <hyperlink ref="H38" r:id="rId76"/>
    <hyperlink ref="L16" r:id="rId77"/>
    <hyperlink ref="L13" r:id="rId78"/>
    <hyperlink ref="L42" r:id="rId79"/>
    <hyperlink ref="L37" r:id="rId80"/>
    <hyperlink ref="H16" r:id="rId81"/>
    <hyperlink ref="H13" r:id="rId82"/>
    <hyperlink ref="H42" r:id="rId83"/>
    <hyperlink ref="H37" r:id="rId84"/>
    <hyperlink ref="H65" r:id="rId85"/>
    <hyperlink ref="H64" r:id="rId86"/>
    <hyperlink ref="L65" r:id="rId87"/>
    <hyperlink ref="L64" r:id="rId88"/>
  </hyperlinks>
  <pageMargins left="0.17" right="0.17" top="0.25" bottom="0.25" header="0" footer="0"/>
  <pageSetup paperSize="17" scale="45" fitToHeight="0" orientation="landscape" r:id="rId89"/>
  <rowBreaks count="1" manualBreakCount="1">
    <brk id="54" max="16383" man="1"/>
  </rowBreaks>
  <ignoredErrors>
    <ignoredError sqref="Y15 W3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23 with notes (tax year 2022</vt:lpstr>
      <vt:lpstr>'FY 23 with notes (tax year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2022-11-30T19:37:49Z</cp:lastPrinted>
  <dcterms:created xsi:type="dcterms:W3CDTF">2015-03-25T18:15:22Z</dcterms:created>
  <dcterms:modified xsi:type="dcterms:W3CDTF">2023-04-13T19:12:55Z</dcterms:modified>
</cp:coreProperties>
</file>